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1f1d913e56e7002/JAMP (Core)/TABLEAU/Budgets^M/"/>
    </mc:Choice>
  </mc:AlternateContent>
  <xr:revisionPtr revIDLastSave="7" documentId="8_{DBE7C215-0FAB-4B76-9656-E04AF2D72CD3}" xr6:coauthVersionLast="47" xr6:coauthVersionMax="47" xr10:uidLastSave="{A6433ADE-EE83-40EC-986B-ED8F908914C1}"/>
  <bookViews>
    <workbookView xWindow="-120" yWindow="-120" windowWidth="20730" windowHeight="10545" activeTab="4" xr2:uid="{00000000-000D-0000-FFFF-FFFF00000000}"/>
  </bookViews>
  <sheets>
    <sheet name="Index" sheetId="8" r:id="rId1"/>
    <sheet name="STATEMENT 1" sheetId="4" r:id="rId2"/>
    <sheet name="STATEMENT 2" sheetId="2" r:id="rId3"/>
    <sheet name="STATEMENT 3" sheetId="5" r:id="rId4"/>
    <sheet name="STATEMENT 4" sheetId="6" r:id="rId5"/>
    <sheet name="STATEMENT 5" sheetId="7" r:id="rId6"/>
  </sheets>
  <externalReferences>
    <externalReference r:id="rId7"/>
  </externalReferences>
  <definedNames>
    <definedName name="DETAIL" localSheetId="0">#REF!</definedName>
    <definedName name="DETAIL">#REF!</definedName>
    <definedName name="_xlnm.Extract" localSheetId="0">#REF!</definedName>
    <definedName name="_xlnm.Extract">#REF!</definedName>
    <definedName name="_xlnm.Print_Area" localSheetId="1">'STATEMENT 1'!$A$1:$G$74</definedName>
    <definedName name="_xlnm.Print_Area" localSheetId="2">'STATEMENT 2'!$C$1:$Q$537</definedName>
    <definedName name="_xlnm.Print_Area" localSheetId="4">'STATEMENT 4'!$A$1:$H$50</definedName>
    <definedName name="_xlnm.Print_Area" localSheetId="5">'STATEMENT 5'!$A$1:$M$92</definedName>
    <definedName name="_xlnm.Print_Area">#REF!</definedName>
    <definedName name="PRINT_AREA_MI">#REF!</definedName>
    <definedName name="_xlnm.Print_Titles" localSheetId="2">'STATEMENT 2'!$1:$11</definedName>
    <definedName name="_xlnm.Print_Titles" localSheetId="3">'STATEMENT 3'!$1:$4</definedName>
    <definedName name="_xlnm.Print_Titles" localSheetId="5">'STATEMENT 5'!$1:$11</definedName>
    <definedName name="SUMM" localSheetId="0">#REF!</definedName>
    <definedName name="SUMM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1" i="6" l="1"/>
  <c r="H457" i="2"/>
  <c r="H459" i="2" s="1"/>
  <c r="H440" i="2"/>
  <c r="I60" i="7" l="1"/>
  <c r="I67" i="7" s="1"/>
  <c r="I38" i="5"/>
  <c r="I51" i="5" s="1"/>
  <c r="H8" i="6" s="1"/>
  <c r="H11" i="6" s="1"/>
  <c r="J481" i="2"/>
  <c r="O38" i="2"/>
  <c r="J41" i="2"/>
  <c r="J163" i="2"/>
  <c r="J133" i="2"/>
  <c r="J153" i="2"/>
  <c r="J176" i="2"/>
  <c r="J400" i="2"/>
  <c r="J26" i="2" l="1"/>
  <c r="J25" i="2"/>
  <c r="J15" i="2"/>
  <c r="J14" i="2"/>
  <c r="J13" i="2"/>
  <c r="J507" i="2"/>
  <c r="J148" i="2" l="1"/>
  <c r="J417" i="2" l="1"/>
  <c r="E32" i="4" l="1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I68" i="2" l="1"/>
  <c r="I13" i="2"/>
  <c r="I14" i="2"/>
  <c r="I24" i="2" l="1"/>
  <c r="I42" i="2" s="1"/>
  <c r="I513" i="2" l="1"/>
  <c r="J117" i="2" l="1"/>
  <c r="K305" i="2" l="1"/>
  <c r="P322" i="2"/>
  <c r="Q322" i="2"/>
  <c r="O322" i="2"/>
  <c r="J322" i="2"/>
  <c r="Q199" i="2" l="1"/>
  <c r="P199" i="2"/>
  <c r="O199" i="2"/>
  <c r="N199" i="2"/>
  <c r="L199" i="2"/>
  <c r="J199" i="2"/>
  <c r="I199" i="2"/>
  <c r="K198" i="2"/>
  <c r="K199" i="2" s="1"/>
  <c r="M197" i="2"/>
  <c r="L197" i="2"/>
  <c r="M196" i="2"/>
  <c r="L196" i="2"/>
  <c r="J129" i="2" l="1"/>
  <c r="J145" i="2"/>
  <c r="K285" i="2"/>
  <c r="K286" i="2" s="1"/>
  <c r="N286" i="2"/>
  <c r="O286" i="2"/>
  <c r="P286" i="2"/>
  <c r="Q286" i="2"/>
  <c r="J286" i="2"/>
  <c r="I286" i="2"/>
  <c r="M285" i="2"/>
  <c r="M286" i="2" s="1"/>
  <c r="L285" i="2"/>
  <c r="L286" i="2" s="1"/>
  <c r="M281" i="2"/>
  <c r="L281" i="2"/>
  <c r="Q64" i="2"/>
  <c r="P64" i="2"/>
  <c r="O64" i="2"/>
  <c r="N64" i="2"/>
  <c r="M64" i="2"/>
  <c r="L64" i="2"/>
  <c r="J64" i="2"/>
  <c r="I64" i="2"/>
  <c r="K63" i="2"/>
  <c r="K62" i="2"/>
  <c r="K64" i="2" l="1"/>
  <c r="Q376" i="2"/>
  <c r="Q375" i="2"/>
  <c r="P376" i="2"/>
  <c r="P375" i="2"/>
  <c r="O376" i="2"/>
  <c r="O375" i="2"/>
  <c r="J376" i="2"/>
  <c r="J375" i="2"/>
  <c r="Q55" i="2"/>
  <c r="P55" i="2"/>
  <c r="O55" i="2"/>
  <c r="N55" i="2"/>
  <c r="M55" i="2"/>
  <c r="L55" i="2"/>
  <c r="J55" i="2"/>
  <c r="I55" i="2"/>
  <c r="K54" i="2"/>
  <c r="K53" i="2"/>
  <c r="K55" i="2" l="1"/>
  <c r="Q51" i="2"/>
  <c r="P51" i="2"/>
  <c r="O51" i="2"/>
  <c r="N51" i="2"/>
  <c r="M51" i="2"/>
  <c r="L51" i="2"/>
  <c r="J51" i="2"/>
  <c r="I51" i="2"/>
  <c r="K50" i="2"/>
  <c r="K49" i="2"/>
  <c r="K51" i="2" l="1"/>
  <c r="J357" i="2"/>
  <c r="H534" i="2" l="1"/>
  <c r="H533" i="2"/>
  <c r="H531" i="2"/>
  <c r="H530" i="2"/>
  <c r="H528" i="2"/>
  <c r="H527" i="2"/>
  <c r="G534" i="2"/>
  <c r="G533" i="2"/>
  <c r="G531" i="2"/>
  <c r="G530" i="2"/>
  <c r="G528" i="2"/>
  <c r="G527" i="2"/>
  <c r="K527" i="2" l="1"/>
  <c r="D36" i="4"/>
  <c r="G15" i="4"/>
  <c r="F15" i="4"/>
  <c r="D33" i="4"/>
  <c r="D42" i="4"/>
  <c r="D43" i="4"/>
  <c r="D44" i="4"/>
  <c r="D53" i="4"/>
  <c r="D54" i="4"/>
  <c r="D55" i="4"/>
  <c r="D58" i="4"/>
  <c r="D59" i="4"/>
  <c r="D60" i="4"/>
  <c r="D64" i="4"/>
  <c r="D66" i="4" s="1"/>
  <c r="D39" i="4" l="1"/>
  <c r="D61" i="4"/>
  <c r="D46" i="4"/>
  <c r="D48" i="4" s="1"/>
  <c r="K58" i="2"/>
  <c r="K26" i="2"/>
  <c r="G42" i="2"/>
  <c r="G526" i="2" s="1"/>
  <c r="K12" i="2"/>
  <c r="K13" i="2"/>
  <c r="K14" i="2"/>
  <c r="K15" i="2"/>
  <c r="K16" i="2"/>
  <c r="K17" i="2"/>
  <c r="K18" i="2"/>
  <c r="K19" i="2"/>
  <c r="M19" i="2"/>
  <c r="M21" i="2" s="1"/>
  <c r="K20" i="2"/>
  <c r="K21" i="2"/>
  <c r="K22" i="2"/>
  <c r="K23" i="2"/>
  <c r="K24" i="2"/>
  <c r="K25" i="2"/>
  <c r="M25" i="2"/>
  <c r="M26" i="2"/>
  <c r="K27" i="2"/>
  <c r="M27" i="2"/>
  <c r="K28" i="2"/>
  <c r="M28" i="2"/>
  <c r="K29" i="2"/>
  <c r="K30" i="2"/>
  <c r="K31" i="2"/>
  <c r="K32" i="2"/>
  <c r="K33" i="2"/>
  <c r="K34" i="2"/>
  <c r="M34" i="2"/>
  <c r="K35" i="2"/>
  <c r="K36" i="2"/>
  <c r="K37" i="2"/>
  <c r="K38" i="2"/>
  <c r="M38" i="2"/>
  <c r="M40" i="2" s="1"/>
  <c r="K39" i="2"/>
  <c r="K40" i="2"/>
  <c r="K41" i="2"/>
  <c r="I526" i="2"/>
  <c r="J42" i="2"/>
  <c r="J526" i="2" s="1"/>
  <c r="L42" i="2"/>
  <c r="N42" i="2"/>
  <c r="O42" i="2"/>
  <c r="P42" i="2"/>
  <c r="Q42" i="2"/>
  <c r="K46" i="2"/>
  <c r="K47" i="2" s="1"/>
  <c r="I47" i="2"/>
  <c r="J47" i="2"/>
  <c r="L47" i="2"/>
  <c r="M47" i="2"/>
  <c r="N47" i="2"/>
  <c r="O47" i="2"/>
  <c r="P47" i="2"/>
  <c r="Q47" i="2"/>
  <c r="K57" i="2"/>
  <c r="I59" i="2"/>
  <c r="J59" i="2"/>
  <c r="L59" i="2"/>
  <c r="M59" i="2"/>
  <c r="N59" i="2"/>
  <c r="O59" i="2"/>
  <c r="P59" i="2"/>
  <c r="Q59" i="2"/>
  <c r="K67" i="2"/>
  <c r="L67" i="2"/>
  <c r="L69" i="2" s="1"/>
  <c r="M67" i="2"/>
  <c r="M84" i="2" s="1"/>
  <c r="K68" i="2"/>
  <c r="I69" i="2"/>
  <c r="J69" i="2"/>
  <c r="N69" i="2"/>
  <c r="O69" i="2"/>
  <c r="P69" i="2"/>
  <c r="Q69" i="2"/>
  <c r="L71" i="2"/>
  <c r="M71" i="2"/>
  <c r="K72" i="2"/>
  <c r="L72" i="2"/>
  <c r="L74" i="2" s="1"/>
  <c r="M72" i="2"/>
  <c r="K73" i="2"/>
  <c r="I74" i="2"/>
  <c r="J74" i="2"/>
  <c r="M74" i="2"/>
  <c r="N74" i="2"/>
  <c r="O74" i="2"/>
  <c r="P74" i="2"/>
  <c r="Q74" i="2"/>
  <c r="L75" i="2"/>
  <c r="M75" i="2"/>
  <c r="L76" i="2"/>
  <c r="M76" i="2"/>
  <c r="K77" i="2"/>
  <c r="K79" i="2"/>
  <c r="K80" i="2" s="1"/>
  <c r="P80" i="2"/>
  <c r="I80" i="2"/>
  <c r="J80" i="2"/>
  <c r="L80" i="2"/>
  <c r="M80" i="2"/>
  <c r="N80" i="2"/>
  <c r="O80" i="2"/>
  <c r="Q80" i="2"/>
  <c r="L82" i="2"/>
  <c r="M82" i="2"/>
  <c r="K83" i="2"/>
  <c r="L83" i="2"/>
  <c r="M83" i="2"/>
  <c r="M85" i="2" s="1"/>
  <c r="K84" i="2"/>
  <c r="I85" i="2"/>
  <c r="J85" i="2"/>
  <c r="N85" i="2"/>
  <c r="O85" i="2"/>
  <c r="P85" i="2"/>
  <c r="Q85" i="2"/>
  <c r="K88" i="2"/>
  <c r="K89" i="2"/>
  <c r="I90" i="2"/>
  <c r="J90" i="2"/>
  <c r="L90" i="2"/>
  <c r="M90" i="2"/>
  <c r="N90" i="2"/>
  <c r="O90" i="2"/>
  <c r="P90" i="2"/>
  <c r="Q90" i="2"/>
  <c r="K93" i="2"/>
  <c r="K94" i="2"/>
  <c r="K95" i="2"/>
  <c r="I96" i="2"/>
  <c r="J96" i="2"/>
  <c r="L96" i="2"/>
  <c r="M96" i="2"/>
  <c r="N96" i="2"/>
  <c r="O96" i="2"/>
  <c r="P96" i="2"/>
  <c r="Q96" i="2"/>
  <c r="I100" i="2"/>
  <c r="L100" i="2"/>
  <c r="M100" i="2"/>
  <c r="N100" i="2"/>
  <c r="O100" i="2"/>
  <c r="P100" i="2"/>
  <c r="Q100" i="2"/>
  <c r="K105" i="2"/>
  <c r="K106" i="2" s="1"/>
  <c r="I106" i="2"/>
  <c r="J106" i="2"/>
  <c r="L106" i="2"/>
  <c r="M106" i="2"/>
  <c r="N106" i="2"/>
  <c r="O106" i="2"/>
  <c r="P106" i="2"/>
  <c r="Q106" i="2"/>
  <c r="K111" i="2"/>
  <c r="K112" i="2"/>
  <c r="K113" i="2"/>
  <c r="K114" i="2"/>
  <c r="K115" i="2"/>
  <c r="K116" i="2"/>
  <c r="I117" i="2"/>
  <c r="L117" i="2"/>
  <c r="M117" i="2"/>
  <c r="N117" i="2"/>
  <c r="O117" i="2"/>
  <c r="P117" i="2"/>
  <c r="Q117" i="2"/>
  <c r="K120" i="2"/>
  <c r="K121" i="2"/>
  <c r="K122" i="2"/>
  <c r="K123" i="2"/>
  <c r="K124" i="2"/>
  <c r="K125" i="2"/>
  <c r="K126" i="2"/>
  <c r="K127" i="2"/>
  <c r="I129" i="2"/>
  <c r="L129" i="2"/>
  <c r="M129" i="2"/>
  <c r="N129" i="2"/>
  <c r="O129" i="2"/>
  <c r="P129" i="2"/>
  <c r="Q129" i="2"/>
  <c r="K132" i="2"/>
  <c r="L132" i="2"/>
  <c r="M132" i="2"/>
  <c r="K133" i="2"/>
  <c r="L133" i="2"/>
  <c r="M133" i="2"/>
  <c r="K134" i="2"/>
  <c r="K135" i="2"/>
  <c r="K136" i="2"/>
  <c r="K137" i="2"/>
  <c r="K138" i="2"/>
  <c r="K139" i="2"/>
  <c r="L139" i="2"/>
  <c r="K140" i="2"/>
  <c r="K141" i="2"/>
  <c r="K142" i="2"/>
  <c r="K143" i="2"/>
  <c r="L143" i="2"/>
  <c r="M143" i="2"/>
  <c r="K144" i="2"/>
  <c r="L144" i="2"/>
  <c r="M144" i="2"/>
  <c r="I145" i="2"/>
  <c r="N145" i="2"/>
  <c r="O145" i="2"/>
  <c r="P145" i="2"/>
  <c r="Q145" i="2"/>
  <c r="I146" i="2"/>
  <c r="L147" i="2"/>
  <c r="M147" i="2"/>
  <c r="K148" i="2"/>
  <c r="K149" i="2"/>
  <c r="K150" i="2"/>
  <c r="K151" i="2"/>
  <c r="K152" i="2"/>
  <c r="K153" i="2"/>
  <c r="K154" i="2"/>
  <c r="K156" i="2"/>
  <c r="K157" i="2"/>
  <c r="K158" i="2"/>
  <c r="K159" i="2"/>
  <c r="K160" i="2"/>
  <c r="K161" i="2"/>
  <c r="K162" i="2"/>
  <c r="K163" i="2"/>
  <c r="I167" i="2"/>
  <c r="L167" i="2"/>
  <c r="M167" i="2"/>
  <c r="N167" i="2"/>
  <c r="O167" i="2"/>
  <c r="P167" i="2"/>
  <c r="Q167" i="2"/>
  <c r="K170" i="2"/>
  <c r="K171" i="2"/>
  <c r="L171" i="2"/>
  <c r="M171" i="2"/>
  <c r="K172" i="2"/>
  <c r="K173" i="2"/>
  <c r="K174" i="2"/>
  <c r="K175" i="2"/>
  <c r="K176" i="2"/>
  <c r="K177" i="2"/>
  <c r="L177" i="2"/>
  <c r="M177" i="2"/>
  <c r="K178" i="2"/>
  <c r="L178" i="2"/>
  <c r="M178" i="2"/>
  <c r="I179" i="2"/>
  <c r="N179" i="2"/>
  <c r="O179" i="2"/>
  <c r="P179" i="2"/>
  <c r="Q179" i="2"/>
  <c r="L180" i="2"/>
  <c r="M180" i="2"/>
  <c r="K183" i="2"/>
  <c r="K184" i="2"/>
  <c r="K185" i="2"/>
  <c r="K186" i="2"/>
  <c r="K187" i="2"/>
  <c r="L187" i="2"/>
  <c r="M187" i="2"/>
  <c r="K188" i="2"/>
  <c r="L188" i="2"/>
  <c r="M188" i="2"/>
  <c r="K189" i="2"/>
  <c r="L189" i="2"/>
  <c r="M189" i="2"/>
  <c r="K190" i="2"/>
  <c r="K191" i="2"/>
  <c r="M191" i="2"/>
  <c r="K192" i="2"/>
  <c r="L192" i="2"/>
  <c r="M192" i="2"/>
  <c r="K193" i="2"/>
  <c r="L193" i="2"/>
  <c r="M193" i="2"/>
  <c r="K194" i="2"/>
  <c r="I195" i="2"/>
  <c r="N195" i="2"/>
  <c r="O195" i="2"/>
  <c r="P195" i="2"/>
  <c r="Q195" i="2"/>
  <c r="L200" i="2"/>
  <c r="M200" i="2"/>
  <c r="K201" i="2"/>
  <c r="K202" i="2"/>
  <c r="I203" i="2"/>
  <c r="J203" i="2"/>
  <c r="L203" i="2"/>
  <c r="N203" i="2"/>
  <c r="O203" i="2"/>
  <c r="P203" i="2"/>
  <c r="Q203" i="2"/>
  <c r="K206" i="2"/>
  <c r="K207" i="2"/>
  <c r="I208" i="2"/>
  <c r="J208" i="2"/>
  <c r="L208" i="2"/>
  <c r="M208" i="2"/>
  <c r="N208" i="2"/>
  <c r="O208" i="2"/>
  <c r="P208" i="2"/>
  <c r="Q208" i="2"/>
  <c r="L210" i="2"/>
  <c r="M210" i="2"/>
  <c r="K211" i="2"/>
  <c r="K213" i="2"/>
  <c r="K214" i="2"/>
  <c r="L214" i="2"/>
  <c r="M214" i="2"/>
  <c r="K215" i="2"/>
  <c r="L215" i="2"/>
  <c r="M215" i="2"/>
  <c r="K216" i="2"/>
  <c r="L216" i="2"/>
  <c r="M216" i="2"/>
  <c r="I217" i="2"/>
  <c r="M217" i="2"/>
  <c r="N217" i="2"/>
  <c r="O217" i="2"/>
  <c r="P217" i="2"/>
  <c r="Q217" i="2"/>
  <c r="K220" i="2"/>
  <c r="K221" i="2" s="1"/>
  <c r="I221" i="2"/>
  <c r="J221" i="2"/>
  <c r="L221" i="2"/>
  <c r="M221" i="2"/>
  <c r="N221" i="2"/>
  <c r="O221" i="2"/>
  <c r="P221" i="2"/>
  <c r="Q221" i="2"/>
  <c r="L222" i="2"/>
  <c r="M222" i="2"/>
  <c r="M230" i="2" s="1"/>
  <c r="L223" i="2"/>
  <c r="L230" i="2" s="1"/>
  <c r="M223" i="2"/>
  <c r="K224" i="2"/>
  <c r="K225" i="2"/>
  <c r="K226" i="2"/>
  <c r="K227" i="2"/>
  <c r="I228" i="2"/>
  <c r="J228" i="2"/>
  <c r="L228" i="2"/>
  <c r="M228" i="2"/>
  <c r="N228" i="2"/>
  <c r="O228" i="2"/>
  <c r="P228" i="2"/>
  <c r="Q228" i="2"/>
  <c r="K231" i="2"/>
  <c r="K232" i="2"/>
  <c r="K233" i="2"/>
  <c r="L234" i="2"/>
  <c r="M234" i="2"/>
  <c r="K235" i="2"/>
  <c r="L235" i="2"/>
  <c r="M235" i="2"/>
  <c r="K236" i="2"/>
  <c r="L236" i="2"/>
  <c r="M236" i="2"/>
  <c r="I238" i="2"/>
  <c r="J238" i="2"/>
  <c r="N238" i="2"/>
  <c r="O238" i="2"/>
  <c r="P238" i="2"/>
  <c r="Q238" i="2"/>
  <c r="L240" i="2"/>
  <c r="M240" i="2"/>
  <c r="K241" i="2"/>
  <c r="L241" i="2"/>
  <c r="L243" i="2" s="1"/>
  <c r="M241" i="2"/>
  <c r="M243" i="2" s="1"/>
  <c r="K242" i="2"/>
  <c r="I243" i="2"/>
  <c r="J243" i="2"/>
  <c r="N243" i="2"/>
  <c r="O243" i="2"/>
  <c r="P243" i="2"/>
  <c r="Q243" i="2"/>
  <c r="L245" i="2"/>
  <c r="M245" i="2"/>
  <c r="K246" i="2"/>
  <c r="L246" i="2"/>
  <c r="M246" i="2"/>
  <c r="M252" i="2" s="1"/>
  <c r="K247" i="2"/>
  <c r="L247" i="2"/>
  <c r="M247" i="2"/>
  <c r="K248" i="2"/>
  <c r="L248" i="2"/>
  <c r="M248" i="2"/>
  <c r="K249" i="2"/>
  <c r="L249" i="2"/>
  <c r="M249" i="2"/>
  <c r="K250" i="2"/>
  <c r="L250" i="2"/>
  <c r="K251" i="2"/>
  <c r="I252" i="2"/>
  <c r="J252" i="2"/>
  <c r="N252" i="2"/>
  <c r="O252" i="2"/>
  <c r="P252" i="2"/>
  <c r="Q252" i="2"/>
  <c r="K255" i="2"/>
  <c r="K256" i="2"/>
  <c r="L256" i="2"/>
  <c r="M256" i="2"/>
  <c r="M261" i="2" s="1"/>
  <c r="K257" i="2"/>
  <c r="L257" i="2"/>
  <c r="M257" i="2"/>
  <c r="K258" i="2"/>
  <c r="L258" i="2"/>
  <c r="M258" i="2"/>
  <c r="K259" i="2"/>
  <c r="L259" i="2"/>
  <c r="M259" i="2"/>
  <c r="K260" i="2"/>
  <c r="L260" i="2"/>
  <c r="M260" i="2"/>
  <c r="I261" i="2"/>
  <c r="J261" i="2"/>
  <c r="N261" i="2"/>
  <c r="O261" i="2"/>
  <c r="P261" i="2"/>
  <c r="Q261" i="2"/>
  <c r="L263" i="2"/>
  <c r="M263" i="2"/>
  <c r="L264" i="2"/>
  <c r="M264" i="2"/>
  <c r="M270" i="2" s="1"/>
  <c r="K265" i="2"/>
  <c r="L265" i="2"/>
  <c r="M265" i="2"/>
  <c r="K266" i="2"/>
  <c r="L266" i="2"/>
  <c r="M266" i="2"/>
  <c r="K267" i="2"/>
  <c r="M267" i="2"/>
  <c r="K268" i="2"/>
  <c r="K269" i="2"/>
  <c r="I270" i="2"/>
  <c r="J270" i="2"/>
  <c r="N270" i="2"/>
  <c r="O270" i="2"/>
  <c r="P270" i="2"/>
  <c r="Q270" i="2"/>
  <c r="L272" i="2"/>
  <c r="M272" i="2"/>
  <c r="M297" i="2" s="1"/>
  <c r="L273" i="2"/>
  <c r="M273" i="2"/>
  <c r="M279" i="2" s="1"/>
  <c r="K274" i="2"/>
  <c r="L274" i="2"/>
  <c r="M274" i="2"/>
  <c r="K275" i="2"/>
  <c r="L275" i="2"/>
  <c r="M275" i="2"/>
  <c r="K276" i="2"/>
  <c r="K277" i="2"/>
  <c r="L277" i="2"/>
  <c r="M277" i="2"/>
  <c r="K278" i="2"/>
  <c r="L278" i="2"/>
  <c r="I279" i="2"/>
  <c r="J279" i="2"/>
  <c r="N279" i="2"/>
  <c r="O279" i="2"/>
  <c r="P279" i="2"/>
  <c r="Q279" i="2"/>
  <c r="L288" i="2"/>
  <c r="M288" i="2"/>
  <c r="K289" i="2"/>
  <c r="K290" i="2" s="1"/>
  <c r="L289" i="2"/>
  <c r="L290" i="2" s="1"/>
  <c r="M289" i="2"/>
  <c r="M290" i="2" s="1"/>
  <c r="I290" i="2"/>
  <c r="J290" i="2"/>
  <c r="N290" i="2"/>
  <c r="O290" i="2"/>
  <c r="P290" i="2"/>
  <c r="Q290" i="2"/>
  <c r="K293" i="2"/>
  <c r="K294" i="2"/>
  <c r="I295" i="2"/>
  <c r="J295" i="2"/>
  <c r="L295" i="2"/>
  <c r="M295" i="2"/>
  <c r="N295" i="2"/>
  <c r="O295" i="2"/>
  <c r="P295" i="2"/>
  <c r="Q295" i="2"/>
  <c r="K298" i="2"/>
  <c r="K299" i="2"/>
  <c r="K300" i="2"/>
  <c r="K301" i="2"/>
  <c r="I302" i="2"/>
  <c r="J302" i="2"/>
  <c r="L302" i="2"/>
  <c r="M302" i="2"/>
  <c r="N302" i="2"/>
  <c r="O302" i="2"/>
  <c r="P302" i="2"/>
  <c r="Q302" i="2"/>
  <c r="K306" i="2"/>
  <c r="K307" i="2"/>
  <c r="I308" i="2"/>
  <c r="J308" i="2"/>
  <c r="L308" i="2"/>
  <c r="M308" i="2"/>
  <c r="N308" i="2"/>
  <c r="O308" i="2"/>
  <c r="P308" i="2"/>
  <c r="Q308" i="2"/>
  <c r="K310" i="2"/>
  <c r="K311" i="2"/>
  <c r="I312" i="2"/>
  <c r="J312" i="2"/>
  <c r="L312" i="2"/>
  <c r="M312" i="2"/>
  <c r="N312" i="2"/>
  <c r="O312" i="2"/>
  <c r="P312" i="2"/>
  <c r="Q312" i="2"/>
  <c r="L314" i="2"/>
  <c r="M314" i="2"/>
  <c r="L315" i="2"/>
  <c r="L316" i="2" s="1"/>
  <c r="M315" i="2"/>
  <c r="I316" i="2"/>
  <c r="J316" i="2"/>
  <c r="K316" i="2"/>
  <c r="M316" i="2"/>
  <c r="N316" i="2"/>
  <c r="O316" i="2"/>
  <c r="P316" i="2"/>
  <c r="Q316" i="2"/>
  <c r="K319" i="2"/>
  <c r="K320" i="2"/>
  <c r="I322" i="2"/>
  <c r="L322" i="2"/>
  <c r="M322" i="2"/>
  <c r="N322" i="2"/>
  <c r="K325" i="2"/>
  <c r="K326" i="2"/>
  <c r="K327" i="2"/>
  <c r="K328" i="2"/>
  <c r="K329" i="2"/>
  <c r="I330" i="2"/>
  <c r="J330" i="2"/>
  <c r="L330" i="2"/>
  <c r="M330" i="2"/>
  <c r="N330" i="2"/>
  <c r="O330" i="2"/>
  <c r="P330" i="2"/>
  <c r="Q330" i="2"/>
  <c r="K333" i="2"/>
  <c r="K334" i="2"/>
  <c r="L334" i="2"/>
  <c r="M334" i="2"/>
  <c r="K335" i="2"/>
  <c r="K336" i="2"/>
  <c r="L336" i="2"/>
  <c r="M336" i="2"/>
  <c r="K337" i="2"/>
  <c r="K338" i="2"/>
  <c r="M338" i="2"/>
  <c r="K339" i="2"/>
  <c r="I340" i="2"/>
  <c r="J340" i="2"/>
  <c r="M340" i="2"/>
  <c r="N340" i="2"/>
  <c r="O340" i="2"/>
  <c r="P340" i="2"/>
  <c r="Q340" i="2"/>
  <c r="K343" i="2"/>
  <c r="L343" i="2"/>
  <c r="M343" i="2"/>
  <c r="M360" i="2" s="1"/>
  <c r="M372" i="2" s="1"/>
  <c r="M375" i="2" s="1"/>
  <c r="M377" i="2" s="1"/>
  <c r="K344" i="2"/>
  <c r="L344" i="2"/>
  <c r="M344" i="2"/>
  <c r="K345" i="2"/>
  <c r="L345" i="2"/>
  <c r="M345" i="2"/>
  <c r="K346" i="2"/>
  <c r="L346" i="2"/>
  <c r="M346" i="2"/>
  <c r="K347" i="2"/>
  <c r="L347" i="2"/>
  <c r="M347" i="2"/>
  <c r="K348" i="2"/>
  <c r="K349" i="2"/>
  <c r="L349" i="2"/>
  <c r="M349" i="2"/>
  <c r="K350" i="2"/>
  <c r="L350" i="2"/>
  <c r="M350" i="2"/>
  <c r="I351" i="2"/>
  <c r="J351" i="2"/>
  <c r="N351" i="2"/>
  <c r="O351" i="2"/>
  <c r="P351" i="2"/>
  <c r="Q351" i="2"/>
  <c r="K354" i="2"/>
  <c r="K355" i="2"/>
  <c r="K356" i="2"/>
  <c r="I357" i="2"/>
  <c r="L357" i="2"/>
  <c r="M357" i="2"/>
  <c r="N357" i="2"/>
  <c r="O357" i="2"/>
  <c r="P357" i="2"/>
  <c r="Q357" i="2"/>
  <c r="K360" i="2"/>
  <c r="K361" i="2"/>
  <c r="K363" i="2"/>
  <c r="K364" i="2"/>
  <c r="K365" i="2"/>
  <c r="K366" i="2"/>
  <c r="K367" i="2"/>
  <c r="K368" i="2"/>
  <c r="K369" i="2"/>
  <c r="K370" i="2"/>
  <c r="I372" i="2"/>
  <c r="J372" i="2"/>
  <c r="N372" i="2"/>
  <c r="O372" i="2"/>
  <c r="P372" i="2"/>
  <c r="Q372" i="2"/>
  <c r="K375" i="2"/>
  <c r="K376" i="2"/>
  <c r="P377" i="2"/>
  <c r="I377" i="2"/>
  <c r="J377" i="2"/>
  <c r="N377" i="2"/>
  <c r="O377" i="2"/>
  <c r="Q377" i="2"/>
  <c r="K382" i="2"/>
  <c r="K384" i="2" s="1"/>
  <c r="I384" i="2"/>
  <c r="J384" i="2"/>
  <c r="L384" i="2"/>
  <c r="M384" i="2"/>
  <c r="N384" i="2"/>
  <c r="O384" i="2"/>
  <c r="P384" i="2"/>
  <c r="Q384" i="2"/>
  <c r="L386" i="2"/>
  <c r="M386" i="2"/>
  <c r="K387" i="2"/>
  <c r="L387" i="2"/>
  <c r="M387" i="2"/>
  <c r="M400" i="2" s="1"/>
  <c r="M406" i="2" s="1"/>
  <c r="K388" i="2"/>
  <c r="L388" i="2"/>
  <c r="M388" i="2"/>
  <c r="K389" i="2"/>
  <c r="L389" i="2"/>
  <c r="M389" i="2"/>
  <c r="K390" i="2"/>
  <c r="L390" i="2"/>
  <c r="M390" i="2"/>
  <c r="K391" i="2"/>
  <c r="K392" i="2"/>
  <c r="K393" i="2"/>
  <c r="K394" i="2"/>
  <c r="M394" i="2"/>
  <c r="K395" i="2"/>
  <c r="K396" i="2"/>
  <c r="K397" i="2"/>
  <c r="K398" i="2"/>
  <c r="I400" i="2"/>
  <c r="N400" i="2"/>
  <c r="O400" i="2"/>
  <c r="P400" i="2"/>
  <c r="Q400" i="2"/>
  <c r="I401" i="2"/>
  <c r="L402" i="2"/>
  <c r="M402" i="2"/>
  <c r="K403" i="2"/>
  <c r="L403" i="2"/>
  <c r="M403" i="2"/>
  <c r="M409" i="2" s="1"/>
  <c r="K404" i="2"/>
  <c r="L404" i="2"/>
  <c r="M404" i="2"/>
  <c r="K405" i="2"/>
  <c r="L405" i="2"/>
  <c r="M405" i="2"/>
  <c r="K406" i="2"/>
  <c r="K407" i="2"/>
  <c r="K408" i="2"/>
  <c r="I409" i="2"/>
  <c r="J409" i="2"/>
  <c r="N409" i="2"/>
  <c r="O409" i="2"/>
  <c r="P409" i="2"/>
  <c r="Q409" i="2"/>
  <c r="K414" i="2"/>
  <c r="L414" i="2"/>
  <c r="M414" i="2"/>
  <c r="M421" i="2" s="1"/>
  <c r="K415" i="2"/>
  <c r="K416" i="2"/>
  <c r="L416" i="2"/>
  <c r="M416" i="2"/>
  <c r="K417" i="2"/>
  <c r="K418" i="2"/>
  <c r="K419" i="2"/>
  <c r="K420" i="2"/>
  <c r="I421" i="2"/>
  <c r="J421" i="2"/>
  <c r="N421" i="2"/>
  <c r="O421" i="2"/>
  <c r="P421" i="2"/>
  <c r="Q421" i="2"/>
  <c r="I422" i="2"/>
  <c r="K425" i="2"/>
  <c r="K426" i="2"/>
  <c r="K427" i="2"/>
  <c r="K428" i="2"/>
  <c r="K429" i="2"/>
  <c r="L429" i="2"/>
  <c r="M429" i="2"/>
  <c r="K430" i="2"/>
  <c r="L430" i="2"/>
  <c r="M430" i="2"/>
  <c r="I431" i="2"/>
  <c r="J431" i="2"/>
  <c r="M431" i="2"/>
  <c r="N431" i="2"/>
  <c r="O431" i="2"/>
  <c r="P431" i="2"/>
  <c r="Q431" i="2"/>
  <c r="L432" i="2"/>
  <c r="M432" i="2"/>
  <c r="L433" i="2"/>
  <c r="M433" i="2"/>
  <c r="L434" i="2"/>
  <c r="M434" i="2"/>
  <c r="M436" i="2" s="1"/>
  <c r="L435" i="2"/>
  <c r="M435" i="2"/>
  <c r="I436" i="2"/>
  <c r="J436" i="2"/>
  <c r="K436" i="2"/>
  <c r="N436" i="2"/>
  <c r="O436" i="2"/>
  <c r="P436" i="2"/>
  <c r="Q436" i="2"/>
  <c r="K446" i="2"/>
  <c r="K447" i="2" s="1"/>
  <c r="I447" i="2"/>
  <c r="J447" i="2"/>
  <c r="L447" i="2"/>
  <c r="M447" i="2"/>
  <c r="N447" i="2"/>
  <c r="O447" i="2"/>
  <c r="P447" i="2"/>
  <c r="Q447" i="2"/>
  <c r="L448" i="2"/>
  <c r="M448" i="2"/>
  <c r="K450" i="2"/>
  <c r="K451" i="2" s="1"/>
  <c r="I451" i="2"/>
  <c r="J451" i="2"/>
  <c r="N451" i="2"/>
  <c r="O451" i="2"/>
  <c r="P451" i="2"/>
  <c r="Q451" i="2"/>
  <c r="I452" i="2"/>
  <c r="L452" i="2"/>
  <c r="M452" i="2"/>
  <c r="I453" i="2"/>
  <c r="K453" i="2"/>
  <c r="L453" i="2"/>
  <c r="M453" i="2"/>
  <c r="K454" i="2"/>
  <c r="K455" i="2"/>
  <c r="K456" i="2"/>
  <c r="I457" i="2"/>
  <c r="J457" i="2"/>
  <c r="L457" i="2"/>
  <c r="M457" i="2"/>
  <c r="N457" i="2"/>
  <c r="O457" i="2"/>
  <c r="P457" i="2"/>
  <c r="Q457" i="2"/>
  <c r="K463" i="2"/>
  <c r="K464" i="2"/>
  <c r="K465" i="2"/>
  <c r="K466" i="2" s="1"/>
  <c r="L465" i="2"/>
  <c r="L466" i="2" s="1"/>
  <c r="M465" i="2"/>
  <c r="M466" i="2" s="1"/>
  <c r="I466" i="2"/>
  <c r="I530" i="2" s="1"/>
  <c r="J466" i="2"/>
  <c r="J530" i="2" s="1"/>
  <c r="L530" i="2" s="1"/>
  <c r="N466" i="2"/>
  <c r="O466" i="2"/>
  <c r="P466" i="2"/>
  <c r="Q466" i="2"/>
  <c r="K470" i="2"/>
  <c r="K471" i="2"/>
  <c r="I472" i="2"/>
  <c r="J472" i="2"/>
  <c r="J531" i="2" s="1"/>
  <c r="L531" i="2" s="1"/>
  <c r="L472" i="2"/>
  <c r="M472" i="2"/>
  <c r="N472" i="2"/>
  <c r="O472" i="2"/>
  <c r="P472" i="2"/>
  <c r="Q472" i="2"/>
  <c r="K480" i="2"/>
  <c r="K481" i="2"/>
  <c r="K482" i="2"/>
  <c r="K483" i="2"/>
  <c r="K484" i="2"/>
  <c r="L484" i="2"/>
  <c r="M484" i="2"/>
  <c r="K485" i="2"/>
  <c r="L485" i="2"/>
  <c r="M485" i="2"/>
  <c r="K486" i="2"/>
  <c r="K487" i="2"/>
  <c r="K488" i="2"/>
  <c r="K489" i="2"/>
  <c r="L489" i="2"/>
  <c r="K490" i="2"/>
  <c r="K491" i="2"/>
  <c r="K492" i="2"/>
  <c r="I493" i="2"/>
  <c r="J493" i="2"/>
  <c r="N493" i="2"/>
  <c r="O493" i="2"/>
  <c r="P493" i="2"/>
  <c r="Q493" i="2"/>
  <c r="K496" i="2"/>
  <c r="K507" i="2" s="1"/>
  <c r="L497" i="2"/>
  <c r="L499" i="2" s="1"/>
  <c r="M497" i="2"/>
  <c r="M507" i="2" s="1"/>
  <c r="M499" i="2"/>
  <c r="L505" i="2"/>
  <c r="M505" i="2"/>
  <c r="L506" i="2"/>
  <c r="M506" i="2"/>
  <c r="I507" i="2"/>
  <c r="N507" i="2"/>
  <c r="O507" i="2"/>
  <c r="P507" i="2"/>
  <c r="Q507" i="2"/>
  <c r="L508" i="2"/>
  <c r="M508" i="2"/>
  <c r="L511" i="2"/>
  <c r="M511" i="2"/>
  <c r="L512" i="2"/>
  <c r="M512" i="2"/>
  <c r="K513" i="2"/>
  <c r="L513" i="2"/>
  <c r="M513" i="2"/>
  <c r="M516" i="2" s="1"/>
  <c r="K514" i="2"/>
  <c r="L514" i="2"/>
  <c r="M514" i="2"/>
  <c r="K515" i="2"/>
  <c r="L515" i="2"/>
  <c r="M515" i="2"/>
  <c r="I516" i="2"/>
  <c r="I534" i="2" s="1"/>
  <c r="J516" i="2"/>
  <c r="N516" i="2"/>
  <c r="O516" i="2"/>
  <c r="P516" i="2"/>
  <c r="Q516" i="2"/>
  <c r="L524" i="2"/>
  <c r="L526" i="2" s="1"/>
  <c r="M524" i="2"/>
  <c r="M526" i="2" s="1"/>
  <c r="M535" i="2" s="1"/>
  <c r="M530" i="2"/>
  <c r="M531" i="2"/>
  <c r="K532" i="2"/>
  <c r="L532" i="2"/>
  <c r="M532" i="2"/>
  <c r="M533" i="2"/>
  <c r="M534" i="2"/>
  <c r="N535" i="2"/>
  <c r="O535" i="2"/>
  <c r="P535" i="2"/>
  <c r="Q535" i="2"/>
  <c r="L536" i="2"/>
  <c r="M536" i="2"/>
  <c r="L537" i="2"/>
  <c r="M537" i="2"/>
  <c r="M198" i="2" l="1"/>
  <c r="M199" i="2" s="1"/>
  <c r="L338" i="2"/>
  <c r="N474" i="2"/>
  <c r="P474" i="2"/>
  <c r="K377" i="2"/>
  <c r="M351" i="2"/>
  <c r="O459" i="2"/>
  <c r="M487" i="2"/>
  <c r="M489" i="2" s="1"/>
  <c r="M69" i="2"/>
  <c r="K322" i="2"/>
  <c r="L507" i="2"/>
  <c r="M480" i="2"/>
  <c r="M493" i="2" s="1"/>
  <c r="M509" i="2" s="1"/>
  <c r="M518" i="2" s="1"/>
  <c r="Q459" i="2"/>
  <c r="K431" i="2"/>
  <c r="Q440" i="2"/>
  <c r="Q442" i="2" s="1"/>
  <c r="O440" i="2"/>
  <c r="O442" i="2" s="1"/>
  <c r="K59" i="2"/>
  <c r="Q509" i="2"/>
  <c r="Q518" i="2" s="1"/>
  <c r="K472" i="2"/>
  <c r="K474" i="2" s="1"/>
  <c r="P440" i="2"/>
  <c r="P442" i="2" s="1"/>
  <c r="D68" i="4"/>
  <c r="K308" i="2"/>
  <c r="K295" i="2"/>
  <c r="K117" i="2"/>
  <c r="O509" i="2"/>
  <c r="O518" i="2" s="1"/>
  <c r="L450" i="2"/>
  <c r="L451" i="2" s="1"/>
  <c r="L459" i="2" s="1"/>
  <c r="L436" i="2"/>
  <c r="J474" i="2"/>
  <c r="I474" i="2"/>
  <c r="I531" i="2"/>
  <c r="I459" i="2"/>
  <c r="I528" i="2" s="1"/>
  <c r="L179" i="2"/>
  <c r="L182" i="2" s="1"/>
  <c r="L136" i="2"/>
  <c r="L145" i="2" s="1"/>
  <c r="M42" i="2"/>
  <c r="G535" i="2"/>
  <c r="K357" i="2"/>
  <c r="K243" i="2"/>
  <c r="I509" i="2"/>
  <c r="I533" i="2" s="1"/>
  <c r="K421" i="2"/>
  <c r="L516" i="2"/>
  <c r="P509" i="2"/>
  <c r="P518" i="2" s="1"/>
  <c r="N509" i="2"/>
  <c r="N518" i="2" s="1"/>
  <c r="L487" i="2"/>
  <c r="Q474" i="2"/>
  <c r="O474" i="2"/>
  <c r="M474" i="2"/>
  <c r="P459" i="2"/>
  <c r="N459" i="2"/>
  <c r="M450" i="2"/>
  <c r="M451" i="2" s="1"/>
  <c r="M459" i="2" s="1"/>
  <c r="L431" i="2"/>
  <c r="M392" i="2"/>
  <c r="I440" i="2"/>
  <c r="I527" i="2" s="1"/>
  <c r="K69" i="2"/>
  <c r="J509" i="2"/>
  <c r="J533" i="2" s="1"/>
  <c r="L533" i="2" s="1"/>
  <c r="J459" i="2"/>
  <c r="J528" i="2" s="1"/>
  <c r="K351" i="2"/>
  <c r="L340" i="2"/>
  <c r="L238" i="2"/>
  <c r="L251" i="2" s="1"/>
  <c r="L252" i="2" s="1"/>
  <c r="K208" i="2"/>
  <c r="K203" i="2"/>
  <c r="K74" i="2"/>
  <c r="K457" i="2"/>
  <c r="K459" i="2" s="1"/>
  <c r="K252" i="2"/>
  <c r="K516" i="2"/>
  <c r="K409" i="2"/>
  <c r="K400" i="2"/>
  <c r="K312" i="2"/>
  <c r="K270" i="2"/>
  <c r="K85" i="2"/>
  <c r="K493" i="2"/>
  <c r="K509" i="2" s="1"/>
  <c r="L474" i="2"/>
  <c r="L480" i="2"/>
  <c r="L421" i="2"/>
  <c r="L392" i="2"/>
  <c r="L400" i="2" s="1"/>
  <c r="L406" i="2" s="1"/>
  <c r="L409" i="2" s="1"/>
  <c r="K340" i="2"/>
  <c r="K279" i="2"/>
  <c r="K261" i="2"/>
  <c r="M238" i="2"/>
  <c r="M251" i="2"/>
  <c r="K238" i="2"/>
  <c r="K228" i="2"/>
  <c r="L217" i="2"/>
  <c r="K195" i="2"/>
  <c r="K179" i="2"/>
  <c r="K155" i="2"/>
  <c r="K167" i="2" s="1"/>
  <c r="J167" i="2"/>
  <c r="K129" i="2"/>
  <c r="K96" i="2"/>
  <c r="J534" i="2"/>
  <c r="L534" i="2" s="1"/>
  <c r="N440" i="2"/>
  <c r="N442" i="2" s="1"/>
  <c r="K372" i="2"/>
  <c r="L351" i="2"/>
  <c r="L360" i="2" s="1"/>
  <c r="L372" i="2" s="1"/>
  <c r="L375" i="2" s="1"/>
  <c r="L377" i="2" s="1"/>
  <c r="K330" i="2"/>
  <c r="K302" i="2"/>
  <c r="L279" i="2"/>
  <c r="L297" i="2" s="1"/>
  <c r="M268" i="2"/>
  <c r="L261" i="2"/>
  <c r="L268" i="2" s="1"/>
  <c r="L270" i="2" s="1"/>
  <c r="K212" i="2"/>
  <c r="K217" i="2" s="1"/>
  <c r="J217" i="2"/>
  <c r="J195" i="2"/>
  <c r="L191" i="2"/>
  <c r="J179" i="2"/>
  <c r="M179" i="2"/>
  <c r="M182" i="2"/>
  <c r="M136" i="2"/>
  <c r="M139" i="2" s="1"/>
  <c r="M145" i="2"/>
  <c r="K145" i="2"/>
  <c r="K99" i="2"/>
  <c r="K100" i="2" s="1"/>
  <c r="J100" i="2"/>
  <c r="K90" i="2"/>
  <c r="L84" i="2"/>
  <c r="L85" i="2" s="1"/>
  <c r="K42" i="2"/>
  <c r="D94" i="5"/>
  <c r="G19" i="4"/>
  <c r="D15" i="5" s="1"/>
  <c r="G22" i="4"/>
  <c r="D18" i="5" s="1"/>
  <c r="G23" i="4"/>
  <c r="D19" i="5" s="1"/>
  <c r="G25" i="4"/>
  <c r="D21" i="5" s="1"/>
  <c r="G26" i="4"/>
  <c r="D22" i="5" s="1"/>
  <c r="G27" i="4"/>
  <c r="D23" i="5" s="1"/>
  <c r="G28" i="4"/>
  <c r="D24" i="5" s="1"/>
  <c r="G29" i="4"/>
  <c r="D25" i="5" s="1"/>
  <c r="G30" i="4"/>
  <c r="D26" i="5" s="1"/>
  <c r="G31" i="4"/>
  <c r="D27" i="5" s="1"/>
  <c r="G32" i="4"/>
  <c r="D28" i="5" s="1"/>
  <c r="G18" i="4"/>
  <c r="D14" i="5" s="1"/>
  <c r="G17" i="4"/>
  <c r="D13" i="5" s="1"/>
  <c r="D11" i="5"/>
  <c r="L195" i="2" l="1"/>
  <c r="L440" i="2" s="1"/>
  <c r="L442" i="2" s="1"/>
  <c r="L493" i="2"/>
  <c r="L509" i="2" s="1"/>
  <c r="L518" i="2" s="1"/>
  <c r="I518" i="2"/>
  <c r="J440" i="2"/>
  <c r="I535" i="2"/>
  <c r="K440" i="2"/>
  <c r="K442" i="2" s="1"/>
  <c r="L535" i="2"/>
  <c r="K518" i="2"/>
  <c r="J518" i="2"/>
  <c r="I442" i="2"/>
  <c r="M195" i="2"/>
  <c r="M202" i="2"/>
  <c r="M203" i="2" s="1"/>
  <c r="D71" i="5"/>
  <c r="D70" i="5"/>
  <c r="G21" i="4"/>
  <c r="D17" i="5" s="1"/>
  <c r="J527" i="2" l="1"/>
  <c r="J535" i="2" s="1"/>
  <c r="M440" i="2"/>
  <c r="M442" i="2" s="1"/>
  <c r="J442" i="2"/>
  <c r="D84" i="5"/>
  <c r="C27" i="6"/>
  <c r="D105" i="5"/>
  <c r="D109" i="5" s="1"/>
  <c r="G24" i="4"/>
  <c r="D20" i="5" s="1"/>
  <c r="G20" i="4"/>
  <c r="D16" i="5" s="1"/>
  <c r="G16" i="4"/>
  <c r="D12" i="5" s="1"/>
  <c r="D30" i="5" l="1"/>
  <c r="I117" i="5" l="1"/>
  <c r="K530" i="2"/>
  <c r="E33" i="4"/>
  <c r="C21" i="6"/>
  <c r="E53" i="4"/>
  <c r="F53" i="4"/>
  <c r="G53" i="4"/>
  <c r="E54" i="4"/>
  <c r="F54" i="4"/>
  <c r="G54" i="4"/>
  <c r="E55" i="4"/>
  <c r="F55" i="4"/>
  <c r="G55" i="4"/>
  <c r="E58" i="4"/>
  <c r="F58" i="4"/>
  <c r="G58" i="4"/>
  <c r="E59" i="4"/>
  <c r="F59" i="4"/>
  <c r="G59" i="4"/>
  <c r="E60" i="4"/>
  <c r="F60" i="4"/>
  <c r="G60" i="4"/>
  <c r="F44" i="4"/>
  <c r="G44" i="4"/>
  <c r="D61" i="5" s="1"/>
  <c r="F43" i="4"/>
  <c r="G42" i="4"/>
  <c r="D59" i="5" s="1"/>
  <c r="F18" i="4"/>
  <c r="F22" i="4"/>
  <c r="F23" i="4"/>
  <c r="F27" i="4"/>
  <c r="F28" i="4"/>
  <c r="F29" i="4"/>
  <c r="F30" i="4"/>
  <c r="F31" i="4"/>
  <c r="F32" i="4"/>
  <c r="F26" i="4"/>
  <c r="F24" i="4"/>
  <c r="F21" i="4"/>
  <c r="F20" i="4"/>
  <c r="F17" i="4"/>
  <c r="F19" i="4"/>
  <c r="F16" i="4"/>
  <c r="F25" i="4"/>
  <c r="H42" i="2"/>
  <c r="E43" i="4"/>
  <c r="E42" i="4"/>
  <c r="K533" i="2"/>
  <c r="D96" i="5"/>
  <c r="D100" i="5" s="1"/>
  <c r="G33" i="4"/>
  <c r="C7" i="6" s="1"/>
  <c r="I83" i="5"/>
  <c r="I87" i="5" s="1"/>
  <c r="D117" i="5"/>
  <c r="H526" i="2" l="1"/>
  <c r="H442" i="2"/>
  <c r="I118" i="5"/>
  <c r="H20" i="6"/>
  <c r="H49" i="6" s="1"/>
  <c r="D111" i="5"/>
  <c r="D121" i="5" s="1"/>
  <c r="I123" i="5"/>
  <c r="H535" i="2"/>
  <c r="K526" i="2"/>
  <c r="F61" i="4"/>
  <c r="F33" i="4"/>
  <c r="F64" i="4"/>
  <c r="F66" i="4" s="1"/>
  <c r="K534" i="2"/>
  <c r="E64" i="4"/>
  <c r="E66" i="4" s="1"/>
  <c r="F42" i="4"/>
  <c r="F46" i="4" s="1"/>
  <c r="C22" i="6"/>
  <c r="C25" i="6" s="1"/>
  <c r="C29" i="6" s="1"/>
  <c r="K531" i="2"/>
  <c r="E44" i="4"/>
  <c r="E46" i="4" s="1"/>
  <c r="K528" i="2"/>
  <c r="G43" i="4"/>
  <c r="E61" i="4"/>
  <c r="C9" i="6"/>
  <c r="D38" i="5"/>
  <c r="D120" i="5" s="1"/>
  <c r="G64" i="4"/>
  <c r="G66" i="4" s="1"/>
  <c r="G61" i="4"/>
  <c r="G36" i="4"/>
  <c r="G46" i="4" l="1"/>
  <c r="D60" i="5"/>
  <c r="D63" i="5" s="1"/>
  <c r="D119" i="5" s="1"/>
  <c r="F36" i="4"/>
  <c r="F39" i="4" s="1"/>
  <c r="F48" i="4" s="1"/>
  <c r="F68" i="4" s="1"/>
  <c r="E36" i="4"/>
  <c r="E39" i="4" s="1"/>
  <c r="E48" i="4" s="1"/>
  <c r="E68" i="4" s="1"/>
  <c r="K535" i="2"/>
  <c r="C8" i="6"/>
  <c r="C11" i="6" s="1"/>
  <c r="G39" i="4"/>
  <c r="G48" i="4" s="1"/>
  <c r="G68" i="4" s="1"/>
  <c r="D33" i="5"/>
  <c r="C49" i="6" l="1"/>
  <c r="D35" i="5"/>
  <c r="D118" i="5" s="1"/>
  <c r="D123" i="5" s="1"/>
  <c r="D51" i="5"/>
</calcChain>
</file>

<file path=xl/sharedStrings.xml><?xml version="1.0" encoding="utf-8"?>
<sst xmlns="http://schemas.openxmlformats.org/spreadsheetml/2006/main" count="1619" uniqueCount="696">
  <si>
    <t>DETAILS OF REVENUE AND LOAN RECEIPTS</t>
  </si>
  <si>
    <t xml:space="preserve"> </t>
  </si>
  <si>
    <t>Consolidated</t>
  </si>
  <si>
    <t>Estimates</t>
  </si>
  <si>
    <t>Increase (+) /</t>
  </si>
  <si>
    <t>Decrease (-)</t>
  </si>
  <si>
    <t>[(2)-(3)]</t>
  </si>
  <si>
    <t>J$</t>
  </si>
  <si>
    <t>I</t>
  </si>
  <si>
    <t>RECURRENT REVENUE</t>
  </si>
  <si>
    <t>Import Duties</t>
  </si>
  <si>
    <t>Warehouse Fees</t>
  </si>
  <si>
    <t>Tax on Interest/Dividend</t>
  </si>
  <si>
    <t>Customs Brokers</t>
  </si>
  <si>
    <t>Tourist Shop Licence</t>
  </si>
  <si>
    <t>Tourist Shop Operators Licence</t>
  </si>
  <si>
    <t>Hotel Licence Duty</t>
  </si>
  <si>
    <t>Other</t>
  </si>
  <si>
    <t>Minimum Business Tax</t>
  </si>
  <si>
    <t>TOTAL TAX REVENUE</t>
  </si>
  <si>
    <t>Sales of Stamps</t>
  </si>
  <si>
    <t xml:space="preserve">Postage, Prepayment </t>
  </si>
  <si>
    <t>Commission on Money Order and Postal Orders</t>
  </si>
  <si>
    <t>C.O.D. and Customs Clearance Fees on Parcels</t>
  </si>
  <si>
    <t>Shares of Postage on Parcels</t>
  </si>
  <si>
    <t>Rental of Property</t>
  </si>
  <si>
    <t>Rental of Letter Boxes and Bags</t>
  </si>
  <si>
    <t>Other Postal Business</t>
  </si>
  <si>
    <t xml:space="preserve">Commission fees from Jamaica National Small Business </t>
  </si>
  <si>
    <t>Commission Fees from Ministry of Labour and Social Security for handling Welfare Payments</t>
  </si>
  <si>
    <t>Interest Earned on Local Currency Bank Accounts</t>
  </si>
  <si>
    <t>Interest Earned on Loans and Advances to Public Officers</t>
  </si>
  <si>
    <t>Miscellaneous Receipts</t>
  </si>
  <si>
    <t>OFFICE OF THE SERVICES COMMISSIONS</t>
  </si>
  <si>
    <t>Processing Fees</t>
  </si>
  <si>
    <t>OFFICE OF THE PRIME MINISTER</t>
  </si>
  <si>
    <t xml:space="preserve">Miscellaneous Receipts </t>
  </si>
  <si>
    <t>OFFICE OF THE CABINET</t>
  </si>
  <si>
    <t>BOJ Profits</t>
  </si>
  <si>
    <t>Sale of Unserviceable Stores</t>
  </si>
  <si>
    <t>Sale of Gazettes</t>
  </si>
  <si>
    <t>Provident Fund</t>
  </si>
  <si>
    <t>Cash Seized and Forfeited</t>
  </si>
  <si>
    <t>ACCOUNTANT GENERAL'S DEPARTMENT</t>
  </si>
  <si>
    <t>Pension Contributions: Other Government Authorities for Seconded Officers</t>
  </si>
  <si>
    <t>Fees on Government Guaranteed Loans</t>
  </si>
  <si>
    <t>Recovery of Pension and Salary</t>
  </si>
  <si>
    <t>Chancery Fund Commission</t>
  </si>
  <si>
    <t>Executive Agency Investment Fund Management Fees</t>
  </si>
  <si>
    <t>Recovery of Prior Years' Expenditure</t>
  </si>
  <si>
    <t>Penalty Payments for Breaches of Customs Act and Regulations</t>
  </si>
  <si>
    <t>Net Service Charge for Shipping and Airline Carriers</t>
  </si>
  <si>
    <t>Standard and Compliance Fees</t>
  </si>
  <si>
    <t>Penalty for late and non-payment of sundry taxes and licences</t>
  </si>
  <si>
    <t>Penalty for Breaches of Spirit Licences</t>
  </si>
  <si>
    <t>Property Tax (2.5%)</t>
  </si>
  <si>
    <t>Road Maintenance Fund 2.5%</t>
  </si>
  <si>
    <t>Trade Licence 2.5%</t>
  </si>
  <si>
    <t>Net Service Charge for services rendered by Excise Officers</t>
  </si>
  <si>
    <t>POLICE DEPARTMENT</t>
  </si>
  <si>
    <t>Police Certificates</t>
  </si>
  <si>
    <t>Pension Contributions: Constabulary</t>
  </si>
  <si>
    <t>Pension Contributions: Special Constables</t>
  </si>
  <si>
    <t>Accident Report</t>
  </si>
  <si>
    <t>DEPARTMENT OF CORRECTIONAL SERVICES</t>
  </si>
  <si>
    <t>TOTAL - DEPARTMENT OF CORRECTIONAL SERVICES</t>
  </si>
  <si>
    <t>PASSPORT, IMMIGRATION AND CITIZENSHIP AGENCY</t>
  </si>
  <si>
    <t>MINISTRY OF JUSTICE</t>
  </si>
  <si>
    <t>Traffic Fines</t>
  </si>
  <si>
    <t xml:space="preserve">Other Court Fines </t>
  </si>
  <si>
    <t>Sale of Revised Laws of Jamaica to the Private Sector</t>
  </si>
  <si>
    <t>Forfeited  Recognizances (Funds)</t>
  </si>
  <si>
    <t>Sale of Marriage Licences</t>
  </si>
  <si>
    <t>ADMINISTRATOR GENERAL'S DEPARTMENT</t>
  </si>
  <si>
    <t>Charges for Administering Intestate Estate (50% of Gross Receipts)</t>
  </si>
  <si>
    <t>MINISTRY OF FOREIGN AFFAIRS AND FOREIGN TRADE</t>
  </si>
  <si>
    <t>Visa Fees from Overseas Missions</t>
  </si>
  <si>
    <t>Authentication fees</t>
  </si>
  <si>
    <t>Rush fees</t>
  </si>
  <si>
    <t>Consul fees</t>
  </si>
  <si>
    <t>Postage fees</t>
  </si>
  <si>
    <t>MINISTRY OF LABOUR AND SOCIAL SECURITY</t>
  </si>
  <si>
    <t>Reimbursement - NIS</t>
  </si>
  <si>
    <t>Fees - Factories Registration Act</t>
  </si>
  <si>
    <t>Fees - Employment  Agencies Registration Act</t>
  </si>
  <si>
    <t>Fees - Recruiting of Workers Act</t>
  </si>
  <si>
    <t>Work Permit</t>
  </si>
  <si>
    <t>Fees from Jamaica  School Certificate Examinations</t>
  </si>
  <si>
    <t>Rental of EDDC and other Buildings</t>
  </si>
  <si>
    <t>Repayment of  Bonds by Teachers</t>
  </si>
  <si>
    <t>Transcripts</t>
  </si>
  <si>
    <t>Recovery of Previous years Expenditure</t>
  </si>
  <si>
    <t>MINISTRY OF HEALTH</t>
  </si>
  <si>
    <t>Registration of  Pharmacies  and Pharmacists</t>
  </si>
  <si>
    <t>Registration of Drugs</t>
  </si>
  <si>
    <t>Parents Contribution toward Maintenance of Children in Children's Home</t>
  </si>
  <si>
    <t>Drug Permits</t>
  </si>
  <si>
    <t>GOVERNMENT CHEMIST</t>
  </si>
  <si>
    <t>Fees from Laboratory analyses</t>
  </si>
  <si>
    <t>Other Receipts from Agricultural Stations</t>
  </si>
  <si>
    <t>Receipts from sundry and other receipts</t>
  </si>
  <si>
    <t>TRADE BOARD</t>
  </si>
  <si>
    <t>Certification Fees</t>
  </si>
  <si>
    <t>Scrap Metal</t>
  </si>
  <si>
    <t>Car Dealers Registration</t>
  </si>
  <si>
    <t>Collateral Letter</t>
  </si>
  <si>
    <t>Letter of Transfer</t>
  </si>
  <si>
    <t xml:space="preserve">Food Protection , Inspection &amp; Deinfestation Division - Sundry Fees </t>
  </si>
  <si>
    <t xml:space="preserve">Amendment to Rules Fees  </t>
  </si>
  <si>
    <t>Registration Fees - Cooperative &amp; Friendly Society</t>
  </si>
  <si>
    <t>Registration of Special Resolution</t>
  </si>
  <si>
    <t xml:space="preserve">Arbitration </t>
  </si>
  <si>
    <t xml:space="preserve">Training </t>
  </si>
  <si>
    <t>Registration of change in office to include registration of Branch Office with IP Societies</t>
  </si>
  <si>
    <t>Annual Fees for IP Societies</t>
  </si>
  <si>
    <t>COMPANIES OFFICE OF JAMAICA</t>
  </si>
  <si>
    <t>Miscellaneous receipts</t>
  </si>
  <si>
    <t>JAMAICA INTELLECTUAL PROPERTY OFFICE</t>
  </si>
  <si>
    <t>Fees for Registration of Trademark</t>
  </si>
  <si>
    <t>Patent fees</t>
  </si>
  <si>
    <t>Design Fees</t>
  </si>
  <si>
    <t>Quarry Tax</t>
  </si>
  <si>
    <t>Receipts from issue of Sundry Permits</t>
  </si>
  <si>
    <t>Laboratory Analysis - Metallic Minerals</t>
  </si>
  <si>
    <t>SCIENTIFIC RESEARCH COUNCIL</t>
  </si>
  <si>
    <t>Information Services</t>
  </si>
  <si>
    <t>Process Development</t>
  </si>
  <si>
    <t>NATIONAL LAND AGENCY</t>
  </si>
  <si>
    <t>TOTAL NATIONAL LAND AGENCY</t>
  </si>
  <si>
    <t xml:space="preserve">Rents - Crown Lands and Other Government Properties </t>
  </si>
  <si>
    <t xml:space="preserve">Land Settlement Properties </t>
  </si>
  <si>
    <t>Rental of Land-Leased properties</t>
  </si>
  <si>
    <t>Crown Property Sales</t>
  </si>
  <si>
    <t>Attorney's Fee/ Photocopying</t>
  </si>
  <si>
    <t>Other Receipts</t>
  </si>
  <si>
    <t>FORESTRY DEPARTMENT</t>
  </si>
  <si>
    <t>Timber Sales</t>
  </si>
  <si>
    <t>Bluefield Guest House</t>
  </si>
  <si>
    <t xml:space="preserve">Miscellaneous  Receipts </t>
  </si>
  <si>
    <t>Fire Inspection Fees</t>
  </si>
  <si>
    <t xml:space="preserve">Fire Certification &amp; Application </t>
  </si>
  <si>
    <t xml:space="preserve">Tender Document Fees </t>
  </si>
  <si>
    <t>Training of Safety Monitor &amp; Demonstration</t>
  </si>
  <si>
    <t>Repairs of Fire Hydrants</t>
  </si>
  <si>
    <t>Fines</t>
  </si>
  <si>
    <t>6% Pension Contribution - Councillors</t>
  </si>
  <si>
    <t>II</t>
  </si>
  <si>
    <t xml:space="preserve">Miscellaneous </t>
  </si>
  <si>
    <t>Grants from the European Union</t>
  </si>
  <si>
    <t xml:space="preserve">Other Grants </t>
  </si>
  <si>
    <t>Proceeds from Divestment</t>
  </si>
  <si>
    <t xml:space="preserve">TOTAL CAPITAL REVENUE </t>
  </si>
  <si>
    <t>III</t>
  </si>
  <si>
    <t>TRANSFERS FROM CAPITAL DEVELOPMENT FUND</t>
  </si>
  <si>
    <t>Transfers in lieu of Income Tax from Alumina Producers</t>
  </si>
  <si>
    <t>IV</t>
  </si>
  <si>
    <t>LOAN RECEIPTS</t>
  </si>
  <si>
    <t>EXTERNAL LOANS</t>
  </si>
  <si>
    <t>Multilateral</t>
  </si>
  <si>
    <t>Loans to be raised under Act 39 of 1964</t>
  </si>
  <si>
    <t xml:space="preserve"> World Bank Loans</t>
  </si>
  <si>
    <t xml:space="preserve">Inter-American Development Bank </t>
  </si>
  <si>
    <t>USAID</t>
  </si>
  <si>
    <t>Caribbean Development Bank</t>
  </si>
  <si>
    <t>European Union</t>
  </si>
  <si>
    <t>World Bank/IDB</t>
  </si>
  <si>
    <t>IFID</t>
  </si>
  <si>
    <t>OECF/USAID</t>
  </si>
  <si>
    <t>OPEC</t>
  </si>
  <si>
    <t>OECF</t>
  </si>
  <si>
    <t>IMF</t>
  </si>
  <si>
    <t>Government of China</t>
  </si>
  <si>
    <t>Government of Germany</t>
  </si>
  <si>
    <t>JBIC</t>
  </si>
  <si>
    <t>Kuwait</t>
  </si>
  <si>
    <t>Saudi</t>
  </si>
  <si>
    <t>PL480</t>
  </si>
  <si>
    <t>Other Loans</t>
  </si>
  <si>
    <t>Capital Market</t>
  </si>
  <si>
    <t>DOMESTIC LOANS</t>
  </si>
  <si>
    <t>Local Commercial Banking Sector</t>
  </si>
  <si>
    <t>Benchmark Notes &amp; Treasury Bills</t>
  </si>
  <si>
    <t>Indexed Bonds &amp; US$ Loans</t>
  </si>
  <si>
    <t>TOTAL LOAN RECEIPTS</t>
  </si>
  <si>
    <t>SUMMARY</t>
  </si>
  <si>
    <t>Recurrent Revenue</t>
  </si>
  <si>
    <t>Capital Revenue</t>
  </si>
  <si>
    <t>Transfers from Capital Development Fund</t>
  </si>
  <si>
    <t>TOTAL</t>
  </si>
  <si>
    <t>The Consolidated Fund Receipts are subject to change</t>
  </si>
  <si>
    <t>Passenger Levy</t>
  </si>
  <si>
    <t>Miscelleanous Receipts</t>
  </si>
  <si>
    <t>Sale of Services- CRDC</t>
  </si>
  <si>
    <t>Increase(+) /</t>
  </si>
  <si>
    <t>Passport Immigration &amp; Citizenship Agency Fee 0.5%</t>
  </si>
  <si>
    <t>Island Traffic Authority 20%</t>
  </si>
  <si>
    <t>000</t>
  </si>
  <si>
    <t>04000</t>
  </si>
  <si>
    <t>Contractor's Registration Fees</t>
  </si>
  <si>
    <t>05000</t>
  </si>
  <si>
    <t>06</t>
  </si>
  <si>
    <t>Miscelleanous Fees</t>
  </si>
  <si>
    <t>15000</t>
  </si>
  <si>
    <t>07</t>
  </si>
  <si>
    <t>Audit Fees</t>
  </si>
  <si>
    <t>Registration  and ID Card Service</t>
  </si>
  <si>
    <t>20000</t>
  </si>
  <si>
    <t>03</t>
  </si>
  <si>
    <t>01</t>
  </si>
  <si>
    <t>05</t>
  </si>
  <si>
    <t>99</t>
  </si>
  <si>
    <t>Fees-FIA Licence Registration</t>
  </si>
  <si>
    <t>Fees-Building Societies</t>
  </si>
  <si>
    <t>Sale of Forfeited Goods-FID</t>
  </si>
  <si>
    <t>Forfeiture of Loan Agreement (MDB)</t>
  </si>
  <si>
    <t>02</t>
  </si>
  <si>
    <t>Interest on On Lent Loans</t>
  </si>
  <si>
    <t>Interest on Government Deposits(MDA)</t>
  </si>
  <si>
    <t>Pension Contribution:Members of the Legislature</t>
  </si>
  <si>
    <t>Sale of Receipt Books</t>
  </si>
  <si>
    <t>Processing Fees- Salary Deduction</t>
  </si>
  <si>
    <t>04</t>
  </si>
  <si>
    <t>Receipts from Sale of Seized Items</t>
  </si>
  <si>
    <t>Customs User/ Administration Fee</t>
  </si>
  <si>
    <t>Irrevocable Standing Orders</t>
  </si>
  <si>
    <t>15</t>
  </si>
  <si>
    <t>08</t>
  </si>
  <si>
    <t>Special Consumption Tax 2.5%</t>
  </si>
  <si>
    <t>Firearm Licensing Authority User Fees</t>
  </si>
  <si>
    <t xml:space="preserve">Rental of Lettings (Land and Buildings) Soldier's Contribution </t>
  </si>
  <si>
    <t>Soldiers' Contribution to various services</t>
  </si>
  <si>
    <t>09</t>
  </si>
  <si>
    <t>Sundry Fines and Contribution</t>
  </si>
  <si>
    <t>Agricultural Land Management Division</t>
  </si>
  <si>
    <t>Fees- Electric Lighting Act</t>
  </si>
  <si>
    <t>Tender Documents</t>
  </si>
  <si>
    <t>On and Off Trailer Plates</t>
  </si>
  <si>
    <t>Royalties-Bauxite</t>
  </si>
  <si>
    <t>REVENUE ITEM DESCRIPTION</t>
  </si>
  <si>
    <t>CO</t>
  </si>
  <si>
    <t>S1</t>
  </si>
  <si>
    <t>S2</t>
  </si>
  <si>
    <t>50</t>
  </si>
  <si>
    <t>Income Tax-Companies</t>
  </si>
  <si>
    <t>Stamp Duties</t>
  </si>
  <si>
    <t>Gaming Machines</t>
  </si>
  <si>
    <t>Other Licences</t>
  </si>
  <si>
    <t>Travel Tax</t>
  </si>
  <si>
    <t>Betting, Gaming and Lotteries-Duties, Fees and Levies</t>
  </si>
  <si>
    <t>Education Tax</t>
  </si>
  <si>
    <t>Telephone Call Tax</t>
  </si>
  <si>
    <t>Import Licences-Trade Board</t>
  </si>
  <si>
    <t>Telecommunication Licences</t>
  </si>
  <si>
    <t>Contractors Levy</t>
  </si>
  <si>
    <t>('2)</t>
  </si>
  <si>
    <t>Irrevocable Order</t>
  </si>
  <si>
    <t>Rental Charges</t>
  </si>
  <si>
    <t>001</t>
  </si>
  <si>
    <t>Product Research and Development</t>
  </si>
  <si>
    <t>Promotion and Distribution of Products</t>
  </si>
  <si>
    <t>TOTAL- AUDITOR GENERAL'S DEPARTMENT</t>
  </si>
  <si>
    <t>AUDITOR GENERAL'S DEPARTMENT</t>
  </si>
  <si>
    <t>TOTAL-OFFICE OF THE SERVICES COMMISSIONS</t>
  </si>
  <si>
    <t>TOTAL-OFFICE OF THE PRIME MINISTER</t>
  </si>
  <si>
    <t>ELECTORAL COMMISSION</t>
  </si>
  <si>
    <t>TOTAL- ELECTORAL COMMISSION</t>
  </si>
  <si>
    <t>MINISTRY OF TOURISM</t>
  </si>
  <si>
    <t>TOTAL- OFFICE OF THE CABINET</t>
  </si>
  <si>
    <t>TOTAL- MINISTRY OF TOURISM</t>
  </si>
  <si>
    <t>TOTAL- ACCOUNTANT GENERAL'S DEPARTMENT</t>
  </si>
  <si>
    <t>JAMAICA CUSTOMS AGENCY</t>
  </si>
  <si>
    <t>TOTAL- JAMAICA CUSTOMS AGENCY</t>
  </si>
  <si>
    <t>TAX ADMINISTRATION OF JAMAICA</t>
  </si>
  <si>
    <t>TOTAL-TAX ADMINISTRATION OF JAMAICA</t>
  </si>
  <si>
    <t>MINISTRY OF NATIONAL SECURITY</t>
  </si>
  <si>
    <t>JAMAICA DEFENCE FORCE</t>
  </si>
  <si>
    <t>TOTAL- MINISTRY OF NATIONAL SECURITY</t>
  </si>
  <si>
    <t>TOTAL-JAMAICA DEFENCE FORCE</t>
  </si>
  <si>
    <t>TOTAL-POLICE DEPARTMENT</t>
  </si>
  <si>
    <t>TOTAL- MINISTRY OF JUSTICE</t>
  </si>
  <si>
    <t>TOTAL- MINISTRY OF FOREIGN AFFAIRS AND FOREIGN TRADE</t>
  </si>
  <si>
    <t>TOTAL-MINISTRY OF LABOUR AND SOCIAL SECURITY</t>
  </si>
  <si>
    <t>MINISTRY OF EDUCATION, YOUTH AND CULTURE</t>
  </si>
  <si>
    <t>TOTAL- MINISTRY OF EDUCATION, YOUTH AND CULTURE</t>
  </si>
  <si>
    <t>TOTAL-GOVERNMENT CHEMIST</t>
  </si>
  <si>
    <t>TOTAL- MINISTRY OF HEALTH</t>
  </si>
  <si>
    <t>DEPARTMENT OF COOPERATIVE AND FRIENDLY SOCIETIES</t>
  </si>
  <si>
    <t>TOTAL-MINISTRY OF CULTURE, GENDER, ENTERTAINMENT AND SPORTS</t>
  </si>
  <si>
    <t>MINISTRY OF CULTURE, GENDER, ENTERTAINMENT AND SPORTS</t>
  </si>
  <si>
    <t>MINISTRY OF INDUSTRY COMMERCE AGRICULTURE AND FISHERIES</t>
  </si>
  <si>
    <t>TOTAL- MINISTRY OF INDUSTRY COMMERCE AGRICULTURE AND FISHERIES</t>
  </si>
  <si>
    <t>TOTAL - FOOD STORAGE AND  PREVENTION OF INVESTATION DIVISION</t>
  </si>
  <si>
    <t>TOTAL- TRADE BOARD</t>
  </si>
  <si>
    <t>TOTAL- DEPARTMENT OF COOPERATIVE AND FRIENDLY SOCIETIES</t>
  </si>
  <si>
    <t>TOTAL- JAMAICA INTELLECTUAL PROPERTY OFFICE</t>
  </si>
  <si>
    <t>POST AND TELECOMMUNICATION DEPARTMENT</t>
  </si>
  <si>
    <t>TOTAL- SCIENTIFIC RESEARCH COUNCIL</t>
  </si>
  <si>
    <t>TOTAL- POST AND TELECOMMUNICATION DEPARTMENT</t>
  </si>
  <si>
    <t>MINISTRY OF SCIENCE ENERGY TECHNOLOGY AND TELECOMMUNICATION</t>
  </si>
  <si>
    <t>TOTAL-MINISTRY OF SCIENCE ENERGY TECHNOLOGY AND TELECOMMUNICATION</t>
  </si>
  <si>
    <t>MINISTRY OF TRANSPORT AND WORKS</t>
  </si>
  <si>
    <t>TOTAL- MINISTRY OF TRANSPORT AND WORKS</t>
  </si>
  <si>
    <t>MINES AND GEOLOGY</t>
  </si>
  <si>
    <t>TOTAL- MINES AND GEOLOGY</t>
  </si>
  <si>
    <t>TOTAL- MINISTRY OF FINANCE AND THE PUBLIC SERVICE</t>
  </si>
  <si>
    <t>Sale of Seedings</t>
  </si>
  <si>
    <t>12</t>
  </si>
  <si>
    <t>TOTAL-FORESTRY DEPARTMENT</t>
  </si>
  <si>
    <t>JAMAICA FIRE BRIGADE</t>
  </si>
  <si>
    <t>TOTAL NON TAX REVENUE</t>
  </si>
  <si>
    <t>TOTAL- JAMAICA FIRE BRIGADE</t>
  </si>
  <si>
    <t>CAPITAL REVENUE</t>
  </si>
  <si>
    <t>Royalties-Limestone</t>
  </si>
  <si>
    <t>Royalties-Marble</t>
  </si>
  <si>
    <t>LAND SALES</t>
  </si>
  <si>
    <t>LOAN REPAYMENTS</t>
  </si>
  <si>
    <t>EXTRAORDINARY RECEIPTS</t>
  </si>
  <si>
    <t>TOTAL CAPITAL REVENUE</t>
  </si>
  <si>
    <t>TOTAL-LAND SALES</t>
  </si>
  <si>
    <t>TOTAL LOAN REPAYMENTS</t>
  </si>
  <si>
    <t>TOTAL-EXTRAORDINARY RECEIPTS</t>
  </si>
  <si>
    <t>TRANSFER FROM CAPITAL DEVELOPMENT FUND</t>
  </si>
  <si>
    <t>MINISTRY OF FINANCE AND THE PUBLIC SERVICE</t>
  </si>
  <si>
    <t>Profits in Government owned companies-Dividends and Financial Distribution</t>
  </si>
  <si>
    <t>Fees-Scotia Bank Jamaica Economic Growth Fund</t>
  </si>
  <si>
    <t>National Health Fund(NHF 2.5%)</t>
  </si>
  <si>
    <t xml:space="preserve">FOOD PROTECTION,INSPECTION AND DEINFESTATION DIVISION </t>
  </si>
  <si>
    <t>TOTAL- COMPANIES OFFICE OF JAMAICA</t>
  </si>
  <si>
    <t>OFFICE OF THE GOVERNMENT TRUSTEE</t>
  </si>
  <si>
    <t xml:space="preserve"> Commission on Dividend Payment</t>
  </si>
  <si>
    <t>Legal fees and charges against the Bankruptcy</t>
  </si>
  <si>
    <t>Trustee Application Fee</t>
  </si>
  <si>
    <t>Trustee Licence Fee</t>
  </si>
  <si>
    <t>Trustee License Renewal</t>
  </si>
  <si>
    <t>TOTAL- OFFICE OF THE GOVERNMENT TRUSTEE</t>
  </si>
  <si>
    <t>OFFICE OF THE SUPERVISOR OF INSOLVENCY</t>
  </si>
  <si>
    <t>TOTAL-OFFICE OF THE SUPERVISOR OF INSOLVENCY</t>
  </si>
  <si>
    <t>Commission on the sale of Ministry of Water &amp; Housing Water Tank and Water Coupons</t>
  </si>
  <si>
    <t>Search Fees</t>
  </si>
  <si>
    <t>Trade Mark Journal</t>
  </si>
  <si>
    <t>Trade Mark Publication</t>
  </si>
  <si>
    <t>Bona Vacantia and Unclaimed Balances</t>
  </si>
  <si>
    <t>General Consumption Tax</t>
  </si>
  <si>
    <t>Special Consumption Tax</t>
  </si>
  <si>
    <t>Environmental Levy</t>
  </si>
  <si>
    <t>Interest Earned on Foreign Currency Bank Accounts</t>
  </si>
  <si>
    <t>Permission to Host events</t>
  </si>
  <si>
    <t>10</t>
  </si>
  <si>
    <t>Income Tax- Individuals</t>
  </si>
  <si>
    <t>Motor Vehicle Licences (Motor Vehicle Act)</t>
  </si>
  <si>
    <t>Guest Accomodation Room Tax</t>
  </si>
  <si>
    <t>MINISTRY OF ECONOMIC GROWTH AND JOB CREATION</t>
  </si>
  <si>
    <t>TOTAL- MINISTRY OF ECONOMIC GROWTH AND JOB CREATION</t>
  </si>
  <si>
    <t>TOTAL- ADMINISTRATOR GENERAL'S DEPARTMENT</t>
  </si>
  <si>
    <t xml:space="preserve"> Police User Fees</t>
  </si>
  <si>
    <t>Transfer to Current Account</t>
  </si>
  <si>
    <t>Others</t>
  </si>
  <si>
    <t>Bilateral</t>
  </si>
  <si>
    <t>TOTAL- DOMESTIC LOANS</t>
  </si>
  <si>
    <t>STATEMENT II</t>
  </si>
  <si>
    <t>STATEMENT I</t>
  </si>
  <si>
    <t>$</t>
  </si>
  <si>
    <t>Taxation Revenue</t>
  </si>
  <si>
    <t>Non-Tax Revenue</t>
  </si>
  <si>
    <t>Royalties</t>
  </si>
  <si>
    <t>Land Sales</t>
  </si>
  <si>
    <t>Extraordinary Receipts</t>
  </si>
  <si>
    <t xml:space="preserve"> REVENUE AND LOAN RECEIPTS</t>
  </si>
  <si>
    <t xml:space="preserve"> SUMMARY</t>
  </si>
  <si>
    <t>Head</t>
  </si>
  <si>
    <t>TAXATION</t>
  </si>
  <si>
    <t>NON-TAX REVENUE</t>
  </si>
  <si>
    <t xml:space="preserve">TOTAL RECURRENT REVENUE </t>
  </si>
  <si>
    <t xml:space="preserve">TOTAL RECURRENT AND CAPITAL REVENUE </t>
  </si>
  <si>
    <t xml:space="preserve">TOTAL REVENUE AND LOAN RECEIPTS  </t>
  </si>
  <si>
    <t>STATEMENT III</t>
  </si>
  <si>
    <t>$'000</t>
  </si>
  <si>
    <t>Estimates,</t>
  </si>
  <si>
    <t>Recurrent Expenditure</t>
  </si>
  <si>
    <t>Customs</t>
  </si>
  <si>
    <t>His Excellency the Governor-General and Staff</t>
  </si>
  <si>
    <t>Houses of Parliament</t>
  </si>
  <si>
    <t>Office of the Public Defender</t>
  </si>
  <si>
    <t>Income Tax</t>
  </si>
  <si>
    <t>Auditor General</t>
  </si>
  <si>
    <t>Office of the Services Commissions</t>
  </si>
  <si>
    <t>Motor Vehicle Licences</t>
  </si>
  <si>
    <t>Office of the Children's Advocate</t>
  </si>
  <si>
    <t>Independent Commission of Investigations</t>
  </si>
  <si>
    <t>Office of the Prime Minister</t>
  </si>
  <si>
    <t>Betting, Gaming and Lotteries - Duty, Fees, Levies</t>
  </si>
  <si>
    <t>Office of the Cabinet</t>
  </si>
  <si>
    <t>Ministry of National Security</t>
  </si>
  <si>
    <t>Ministry of Justice</t>
  </si>
  <si>
    <t>Subtotal Taxation</t>
  </si>
  <si>
    <t>Ministry of Foreign Affairs and Foreign Trade</t>
  </si>
  <si>
    <t>Ministry of Labour and Social Security</t>
  </si>
  <si>
    <t>Ministry of Agriculture and Fisheries</t>
  </si>
  <si>
    <t>Ministry of Industry, Investment and Commerce</t>
  </si>
  <si>
    <t>Subtotal Non-Tax Revenue</t>
  </si>
  <si>
    <t>Less Appropriations-In-Aid</t>
  </si>
  <si>
    <t>Total Recurrent Revenue</t>
  </si>
  <si>
    <t>Loan Repayments</t>
  </si>
  <si>
    <t>Subtotal Capital Revenue</t>
  </si>
  <si>
    <t>External Loans</t>
  </si>
  <si>
    <t>(A)  Multilateral</t>
  </si>
  <si>
    <t>Total Multilateral</t>
  </si>
  <si>
    <t>Total Bilateral</t>
  </si>
  <si>
    <t>Total External Loans</t>
  </si>
  <si>
    <t>Domestic Loans</t>
  </si>
  <si>
    <t>Total Domestic Loans</t>
  </si>
  <si>
    <t>Total External and Domestic Loans</t>
  </si>
  <si>
    <t>Tax and Non Tax Revenue</t>
  </si>
  <si>
    <t>Recurrent Estimates</t>
  </si>
  <si>
    <t>Capital Estimates</t>
  </si>
  <si>
    <t>Transfer from the Capital Development Fund</t>
  </si>
  <si>
    <t>Loan Funds (Raised and to be raised)</t>
  </si>
  <si>
    <t>Total Receipts</t>
  </si>
  <si>
    <t>STATEMENT IV</t>
  </si>
  <si>
    <t>Consolidated Fund Charges</t>
  </si>
  <si>
    <t>Voted Expenditure</t>
  </si>
  <si>
    <t>Loan Funds</t>
  </si>
  <si>
    <t>(A) External Loans</t>
  </si>
  <si>
    <t xml:space="preserve">     (i)   Multilateral</t>
  </si>
  <si>
    <t xml:space="preserve">     (ii)  Bilateral</t>
  </si>
  <si>
    <t xml:space="preserve">     (iii) Other</t>
  </si>
  <si>
    <t>(B) Domestic  Loans</t>
  </si>
  <si>
    <t>Motor Vehicle Licences(Motor Vehicle Act)</t>
  </si>
  <si>
    <t xml:space="preserve"> Land Sales</t>
  </si>
  <si>
    <t xml:space="preserve"> Loan Repayments</t>
  </si>
  <si>
    <t>('3)</t>
  </si>
  <si>
    <t>TOTAL RECURRENT REVENUE</t>
  </si>
  <si>
    <t>TAX REVENUE</t>
  </si>
  <si>
    <t>IBRD</t>
  </si>
  <si>
    <t>('1)</t>
  </si>
  <si>
    <t>BUDGET</t>
  </si>
  <si>
    <t>GRANTS</t>
  </si>
  <si>
    <t>Total Multilateral Loans</t>
  </si>
  <si>
    <t>Total Bilateral Loans</t>
  </si>
  <si>
    <t>TOTAL LOANS</t>
  </si>
  <si>
    <t>Increase(+)/</t>
  </si>
  <si>
    <t>Decrease(-)</t>
  </si>
  <si>
    <t>LOANS</t>
  </si>
  <si>
    <t xml:space="preserve">        Tax Revenue</t>
  </si>
  <si>
    <t xml:space="preserve">         Non Tax Revenue</t>
  </si>
  <si>
    <t xml:space="preserve">         Transfer from Capital Development Fund</t>
  </si>
  <si>
    <t xml:space="preserve">          External Grants</t>
  </si>
  <si>
    <t xml:space="preserve">        External Loans</t>
  </si>
  <si>
    <t xml:space="preserve">        Domestic Loans</t>
  </si>
  <si>
    <t>Fees- Banking Licence Registration (1973) - Commercial Banks</t>
  </si>
  <si>
    <t>Other Grants</t>
  </si>
  <si>
    <t>Miscelleanous</t>
  </si>
  <si>
    <t>TOTAL- PASSPORT, IMMIGRATION AND CITIZENSHIP AGENCY</t>
  </si>
  <si>
    <t>TOTAL-EXTERNAL LOANS</t>
  </si>
  <si>
    <t>[(1)-(3)]</t>
  </si>
  <si>
    <t>TOTAL- TRANSFER TO CAPITAL ACCOUNT</t>
  </si>
  <si>
    <t>EXTERNAL GRANTS</t>
  </si>
  <si>
    <t>Miscelleanous Grants</t>
  </si>
  <si>
    <t>TOTAL EXTERNAL GRANTS</t>
  </si>
  <si>
    <t>TOTAL GRANTS</t>
  </si>
  <si>
    <t xml:space="preserve">Extraordinary Receipts: Miscelleanous </t>
  </si>
  <si>
    <t>(I)</t>
  </si>
  <si>
    <t xml:space="preserve"> Transfers to Current Account  </t>
  </si>
  <si>
    <t xml:space="preserve"> Transfers to Capital Account</t>
  </si>
  <si>
    <t>(II)</t>
  </si>
  <si>
    <t>Miscellaneous Grants</t>
  </si>
  <si>
    <t>V</t>
  </si>
  <si>
    <t>Loan receipts</t>
  </si>
  <si>
    <t xml:space="preserve">Budget </t>
  </si>
  <si>
    <t>Fund Receipts</t>
  </si>
  <si>
    <t>('4)</t>
  </si>
  <si>
    <t>SUBTOTAL NON TAX REVENUE</t>
  </si>
  <si>
    <t>(D) Benchmark Notes &amp; Treasury Bills</t>
  </si>
  <si>
    <t>(E) Other</t>
  </si>
  <si>
    <t>]</t>
  </si>
  <si>
    <t>Geographical Indication Registration</t>
  </si>
  <si>
    <t>Copyright-GDA Registration</t>
  </si>
  <si>
    <t>Madrid Treaty Registration</t>
  </si>
  <si>
    <t>Patent Corporation Treaty Registration</t>
  </si>
  <si>
    <t>Extraordinary Receipts: Miscelleanous</t>
  </si>
  <si>
    <t>Subt Total Capital Revenue</t>
  </si>
  <si>
    <t>(B) Bilateral</t>
  </si>
  <si>
    <t>(C ) Capital Market</t>
  </si>
  <si>
    <t>Total Domestic Loan</t>
  </si>
  <si>
    <t xml:space="preserve">Total External and Domestic Loans </t>
  </si>
  <si>
    <t>Transfer from Capital Development Fund</t>
  </si>
  <si>
    <t xml:space="preserve">Loan Funds ( Raised and to be Raised) </t>
  </si>
  <si>
    <t>NATIONAL ENVIRONMENT AND PLANNING AGENCY</t>
  </si>
  <si>
    <t>Beach and Dredging Licences</t>
  </si>
  <si>
    <t>Environment Permits and Licences Hunters Licences</t>
  </si>
  <si>
    <t>Air Quality Licence</t>
  </si>
  <si>
    <t>Lifeguard</t>
  </si>
  <si>
    <t>CITES</t>
  </si>
  <si>
    <t>Hazardous Waste</t>
  </si>
  <si>
    <t>Wastewater and Sludge</t>
  </si>
  <si>
    <t>Other Fees</t>
  </si>
  <si>
    <t>Hunters Licences</t>
  </si>
  <si>
    <t>TOTAL NATIONAL ENVIRONMENT AND PLANNING AGENCY</t>
  </si>
  <si>
    <t>Passport Services</t>
  </si>
  <si>
    <t>Citizenship Services</t>
  </si>
  <si>
    <t>Immigration Services</t>
  </si>
  <si>
    <t>Blasting Inspections</t>
  </si>
  <si>
    <t>Application for Export Permits</t>
  </si>
  <si>
    <t>HIS EXCELLENCY THE GOVERNOR GENERAL AND STAFF</t>
  </si>
  <si>
    <t>01000</t>
  </si>
  <si>
    <t>TOTAL- HIS EXCELLENCY THE GOVERNOR GENERAL AND STAFF</t>
  </si>
  <si>
    <t>Advisory Panel on Ethics ( Research Proposal)</t>
  </si>
  <si>
    <t>Fees for Registration of Business Names (50% Surplus to Consolidated Fund)</t>
  </si>
  <si>
    <t>Fees for Registration of Companies (50% of Surplus to Consolidated Fund)</t>
  </si>
  <si>
    <t>06000</t>
  </si>
  <si>
    <t>MISCELEANOUS RECEIPTS (UNCLASSIFIED)</t>
  </si>
  <si>
    <t>MISCELLEANOUS RECEIPTS (UNCLASSIFIED)</t>
  </si>
  <si>
    <t>De- earmarked Funds - TEF/ CHASE</t>
  </si>
  <si>
    <t>De- earmarked - Civil Aviation Authority</t>
  </si>
  <si>
    <t>Stamp Duties (local)</t>
  </si>
  <si>
    <t>Stamp Duties (import)</t>
  </si>
  <si>
    <t>Account</t>
  </si>
  <si>
    <t>Registration of Jamaica Investment Capital Growth Funds</t>
  </si>
  <si>
    <t>Library Publication</t>
  </si>
  <si>
    <t>Other Receipts (Including Crown Property Sales)</t>
  </si>
  <si>
    <t>Express Mail</t>
  </si>
  <si>
    <t>2020/2021</t>
  </si>
  <si>
    <t xml:space="preserve"> Dealers Registration / Licensing Fees</t>
  </si>
  <si>
    <t>Insolvency Status Verification</t>
  </si>
  <si>
    <t>Terminal Dues / Postal Administrations and Airlines</t>
  </si>
  <si>
    <t>Miscellaneous Receipts (50% of Profit)</t>
  </si>
  <si>
    <t>Assurance Fund (100% of Gross Receipts)</t>
  </si>
  <si>
    <t xml:space="preserve">  </t>
  </si>
  <si>
    <t>2021/2022</t>
  </si>
  <si>
    <t>('5)</t>
  </si>
  <si>
    <t>2022/2023</t>
  </si>
  <si>
    <t>('6)</t>
  </si>
  <si>
    <t>2023/2024</t>
  </si>
  <si>
    <t>('7)</t>
  </si>
  <si>
    <t>2024/2025</t>
  </si>
  <si>
    <t>PDCF Interest -Global Bonds  Interest</t>
  </si>
  <si>
    <t>PDCF Interest - Local Investments JUTC Interest</t>
  </si>
  <si>
    <t>Processing 5% PAJ</t>
  </si>
  <si>
    <t>MINISTRY OF AGRICULTURE AND FISHERIES</t>
  </si>
  <si>
    <t>TOTAL- MINISTRY OF AGRICULTURE AND FISHERIES</t>
  </si>
  <si>
    <t>PCDF Other Inflow</t>
  </si>
  <si>
    <t>[(4)-(2)]</t>
  </si>
  <si>
    <t xml:space="preserve">                           </t>
  </si>
  <si>
    <t xml:space="preserve"> (December 2020)</t>
  </si>
  <si>
    <t>Finger Print Search</t>
  </si>
  <si>
    <t>INTEGRITY COMMISSION OF JAMAICA</t>
  </si>
  <si>
    <t>TOTAL- INTEGRITY COMMISSION OF JAMAICA</t>
  </si>
  <si>
    <t>RECURRENT</t>
  </si>
  <si>
    <t>EXPENDITURE</t>
  </si>
  <si>
    <t>REVENUE</t>
  </si>
  <si>
    <t>RECURRENT EXPENDITURE</t>
  </si>
  <si>
    <t>GROSS TOTOTAL</t>
  </si>
  <si>
    <t>TOTAL RECURRENT EXPENDITURE</t>
  </si>
  <si>
    <t>CAPITAL</t>
  </si>
  <si>
    <t>Ministry of Local Government and Rural Development</t>
  </si>
  <si>
    <t>Ministry of Health and Wellness</t>
  </si>
  <si>
    <t>Integrity Commission</t>
  </si>
  <si>
    <t>Ministry of Tourism</t>
  </si>
  <si>
    <t>Ministry of Finance and Public Service</t>
  </si>
  <si>
    <t>Ministry of  Culture, Gender, Entertainment and Sport</t>
  </si>
  <si>
    <t>Ministry of Science, Energy and Technology</t>
  </si>
  <si>
    <t>CAPITAL EXPENDITURE</t>
  </si>
  <si>
    <t>TOTAL CAPITAL EXPENDITURE</t>
  </si>
  <si>
    <t>TOTAL EXPENDITURE</t>
  </si>
  <si>
    <t>TOTAL RECEIPTS</t>
  </si>
  <si>
    <t>TOTAL LOAN FUNDS</t>
  </si>
  <si>
    <t>2022/2023 JAMAICA BUDGET</t>
  </si>
  <si>
    <t xml:space="preserve"> 2021/2022</t>
  </si>
  <si>
    <t xml:space="preserve"> (as at Dec-21)</t>
  </si>
  <si>
    <t>2025/2026</t>
  </si>
  <si>
    <t>2022-2023 JAMAICA BUDGET</t>
  </si>
  <si>
    <t>Summary of Revenue Estimates and Estimates of Expenditure for the Year 2022-2023</t>
  </si>
  <si>
    <t>Statement of the Financing of the  Estimates of Expenditure for the Year 2022-2023</t>
  </si>
  <si>
    <t xml:space="preserve"> (December 2021)</t>
  </si>
  <si>
    <t>MINISTRY OF LOCAL GOVERNMENT AND RURAL DEVELOPMENT (FORMERLY MINISTRY OF LOCAL GOVERNMENT AND COMMUNITY DEVELOPMENT)</t>
  </si>
  <si>
    <t>TOTAL- MINISTRY OF LOCAL GOVERNMENT AND RURAL DEVELOPMENT</t>
  </si>
  <si>
    <t>HOUSE OF PARLIAMENT</t>
  </si>
  <si>
    <t>TOTAL- HOUSE OF PARLIAMENT</t>
  </si>
  <si>
    <t>Miscelleanous Fees (Food &amp; Beverage)</t>
  </si>
  <si>
    <t xml:space="preserve">TOTAL- INDEPENDENT COMMISSION OF INVESTIGATIONS (INDECOM)                              </t>
  </si>
  <si>
    <t>INDEPENDENT COMMISSION OF INVESTIGATIONS (INDECOM)</t>
  </si>
  <si>
    <t xml:space="preserve">Miscelleanous Fees </t>
  </si>
  <si>
    <t>PUBLIC PROCUREMENT COMMISSION (PPC)</t>
  </si>
  <si>
    <t xml:space="preserve"> Registration Fees</t>
  </si>
  <si>
    <t>BELLEVUE HOSPITAL</t>
  </si>
  <si>
    <t>TOTAL-BELLEVUE HOSPITAL</t>
  </si>
  <si>
    <t>Sales of Farm Produce</t>
  </si>
  <si>
    <t>Processing Fees for Salary Deduction Forms</t>
  </si>
  <si>
    <t>Sales of Tender Bids</t>
  </si>
  <si>
    <t>Sales of Lost Access Pass</t>
  </si>
  <si>
    <t>TOTAL- PUBLIC PROCUREMENT COMMISSION</t>
  </si>
  <si>
    <t>Utility Models</t>
  </si>
  <si>
    <t>MINISTRY OF HOUSING, URBAN RENEWAL, ENVIRONMENT AND CLIMATE CHANGE</t>
  </si>
  <si>
    <t>TOTAL- MINISTRY OF HOUSING, URBAN RENEWAL, ENVIRONMENT AND CLIMATE CHANGE</t>
  </si>
  <si>
    <t xml:space="preserve">MINISTRY OF INDUSTRY INVESTMENT AND COMMERCE </t>
  </si>
  <si>
    <t xml:space="preserve">TOTAL- MINISTRY OF INDUSTRY INVESTMENT AND COMMERCE </t>
  </si>
  <si>
    <t>Receipts from sundry and Other Receipt</t>
  </si>
  <si>
    <t>Pension Contributions: 5 % Contribution Scheme</t>
  </si>
  <si>
    <t>Ministry of Economic Growth and Job Creation</t>
  </si>
  <si>
    <t>Ministry of Legal and Constitutional Affairs</t>
  </si>
  <si>
    <t>Ministry of Education and Youth</t>
  </si>
  <si>
    <t>Ministry of Transport and Mining</t>
  </si>
  <si>
    <t>GROSS TOTAL</t>
  </si>
  <si>
    <t>STATEMENT V</t>
  </si>
  <si>
    <t xml:space="preserve">STATEMENT OF STATUTORY EXPENDITURE CHARGED </t>
  </si>
  <si>
    <t>TO THE CONSOLIDATED FUND</t>
  </si>
  <si>
    <t>Head of Estimates</t>
  </si>
  <si>
    <t>Particulars of Service</t>
  </si>
  <si>
    <t>Amount</t>
  </si>
  <si>
    <t>Statutory Authority</t>
  </si>
  <si>
    <t>No.</t>
  </si>
  <si>
    <t>Emoluments of the Governor-General and his personal staff as well as general expenditure affiliated to the office of the Governor-General</t>
  </si>
  <si>
    <t>Section 12 of the Governor-General (Expenditure, Personal Staff, Tax Exemptions and Pensions) Act.</t>
  </si>
  <si>
    <t>02000</t>
  </si>
  <si>
    <t>Salaries and Allowances of the Clerk and Deputy Clerk of the Senate and the House of Representatives.</t>
  </si>
  <si>
    <t>Section 47 (8) of the Constitution of Jamaica.</t>
  </si>
  <si>
    <t>03000</t>
  </si>
  <si>
    <t>Salary and Allowances of the Public Defender.</t>
  </si>
  <si>
    <t>Section 9 of the Public Defender Interim Act 33/1999</t>
  </si>
  <si>
    <t>Salary of the Auditor General</t>
  </si>
  <si>
    <t>Section 120–122 of the Constitution of Jamaica; Section 25–36 of the Financial Administration and Audit Act.</t>
  </si>
  <si>
    <t>Salaries and Allowances of the Chairman and members of the Public Service Commissions.</t>
  </si>
  <si>
    <t>Section 124 (8) of the Constitution of Jamaica.</t>
  </si>
  <si>
    <t>07000</t>
  </si>
  <si>
    <t>Salary of the Children's Advocate</t>
  </si>
  <si>
    <t>The Child Care and Protection Act, First Schedule</t>
  </si>
  <si>
    <t>08000</t>
  </si>
  <si>
    <t>Salary of the Commissioner</t>
  </si>
  <si>
    <t>The Independent Commission of Investigations Act, First Schedule</t>
  </si>
  <si>
    <t>09000</t>
  </si>
  <si>
    <t>Salaries and Allowances for the Commissioners of the Integrity Commission</t>
  </si>
  <si>
    <t>Section 22 of the Integrity Commission Act</t>
  </si>
  <si>
    <t>Public Debt Servicing (Amortisation)</t>
  </si>
  <si>
    <t>Payment for the amortisation of loans raised by the Government of Jamaica.</t>
  </si>
  <si>
    <t>Section 119 of the Constitution of Jamaica</t>
  </si>
  <si>
    <t>Public Debt Servicing (Interest Payments)</t>
  </si>
  <si>
    <t>Payment of interest, service charges and commitment fees in respect of the public debt of Jamaica.</t>
  </si>
  <si>
    <t>Section 119 of the Constitution of Jamaica.</t>
  </si>
  <si>
    <t>Pensions</t>
  </si>
  <si>
    <t>Public Officers Pensions, Gratuities and Monthly Allowances granted in pursuance of the provisions of the Pensions Act.</t>
  </si>
  <si>
    <t>Section 4 of the Pensions Act.</t>
  </si>
  <si>
    <t>Jamaica Defence Force Pension</t>
  </si>
  <si>
    <t>Defence (Retired, Pay Pensions and other Grants) Regulation, 1962</t>
  </si>
  <si>
    <t>Payment of Pensions and Gratuities to Teachers in accordance with the Pensions Act</t>
  </si>
  <si>
    <t>The Pensions (Teachers) Act.</t>
  </si>
  <si>
    <t>Payment of Pensions, Gratuities or other allowances to Sub-Officers and Constables of the Police Force in accordance with the Constabulary Force Act</t>
  </si>
  <si>
    <t>Constabulary Force Act.</t>
  </si>
  <si>
    <t>Payment of retiring allowances, Widows’ allowances or gratuity to legislators in accordance with the provisions of the Retiring Allowance  (Legislative Service) Act, and/or The Pensions (Prime Minister) Act.</t>
  </si>
  <si>
    <t>Section 12 of the Retiring Allowances (Legislative Service) Act and Section 7 of the Pensions (Prime Minister) Act.</t>
  </si>
  <si>
    <t>Refund of Family Benefits Contributions in accordance with the Provisions of the Pensions (Civil Service Family Benefits) Act.</t>
  </si>
  <si>
    <t>Section 10 of the Pensions (Civil Service Family Benefits) Act.</t>
  </si>
  <si>
    <t>Payment of Pensions in accordance with the Provisions of the Pensions (Civil Service Family Benefits) Act.</t>
  </si>
  <si>
    <t>Pensions (Civil Service Family Benefits) Act.</t>
  </si>
  <si>
    <t>Payment of Pensions to retired Parish Councillors and/or their widows in accordance with the provisions of the Retiring Allowances (Parish Councillors) Act</t>
  </si>
  <si>
    <t>Parish Councillors Act 2005</t>
  </si>
  <si>
    <t>Payment of Pensions to the retired members of the Electoral Commission and their widows</t>
  </si>
  <si>
    <t>The Pensions Act</t>
  </si>
  <si>
    <t>Payment of Pensions to the retired Ombudsmen and their widows.</t>
  </si>
  <si>
    <t>The Ombudsman Act</t>
  </si>
  <si>
    <t>Governor-General's Pension</t>
  </si>
  <si>
    <t>Governor General Act</t>
  </si>
  <si>
    <t>Payment of Pensions to the retired Contractor General and his widow in accordance with the Contractor General Act.</t>
  </si>
  <si>
    <t>The Contractor General Act</t>
  </si>
  <si>
    <t>Jamaica Agricultural Society Pensions</t>
  </si>
  <si>
    <t>Provident Fund Act</t>
  </si>
  <si>
    <t>Payment of Pensions to the former employees, Jamaica Railway Corporation.</t>
  </si>
  <si>
    <t>Jamaica Railway Corporation (Pensions) Regulations</t>
  </si>
  <si>
    <t>Total Pensions</t>
  </si>
  <si>
    <t>28025</t>
  </si>
  <si>
    <t>Director of Public Prosecutions</t>
  </si>
  <si>
    <t>Payment of Salary to the Director of Public Prosecutions</t>
  </si>
  <si>
    <t>Section 95 (2) of the Constitution of Jamaica</t>
  </si>
  <si>
    <t>Judiciary</t>
  </si>
  <si>
    <t>Payment of Salaries to the Judges of the Court of Appeal and the Supreme Court</t>
  </si>
  <si>
    <t>Section 107 (1) of the Constitution of Jamaica</t>
  </si>
  <si>
    <t xml:space="preserve">Total </t>
  </si>
  <si>
    <t xml:space="preserve">(C) Utilization of  (Prior Year) Cash Balances </t>
  </si>
  <si>
    <t>INDEX TO ESTIMATES OF REVENUE</t>
  </si>
  <si>
    <t>2022-2023</t>
  </si>
  <si>
    <r>
      <t>Page No</t>
    </r>
    <r>
      <rPr>
        <sz val="12"/>
        <rFont val="Arial"/>
        <family val="2"/>
      </rPr>
      <t>.</t>
    </r>
  </si>
  <si>
    <t>A</t>
  </si>
  <si>
    <t>STATEMENT OF REVENUE ESTIMATES</t>
  </si>
  <si>
    <t>Statement I</t>
  </si>
  <si>
    <t>Summary of Revenue and Loan Receipts</t>
  </si>
  <si>
    <t>Statement II</t>
  </si>
  <si>
    <t>Details of Revenue and Loan Receipts</t>
  </si>
  <si>
    <t>B</t>
  </si>
  <si>
    <t>STATEMENT OF FINANCING OF THE BUDGET</t>
  </si>
  <si>
    <t xml:space="preserve">Statement III </t>
  </si>
  <si>
    <t>Summary of Revenue Estimates and Estimates of Expenditure</t>
  </si>
  <si>
    <t>Statement IV</t>
  </si>
  <si>
    <t xml:space="preserve">Statement of the Financing of the  Estimates of Expenditure </t>
  </si>
  <si>
    <t>Statement V</t>
  </si>
  <si>
    <t>Statement of Statutory Expenditure Charged to the Consolidated Fund</t>
  </si>
  <si>
    <t>Grants</t>
  </si>
  <si>
    <t xml:space="preserve">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</si>
</sst>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#,##0\ ;\(#,##0\)"/>
    <numFmt numFmtId="166" formatCode="#,##0.0\ ;\(#,##0.0\)"/>
    <numFmt numFmtId="167" formatCode="_-* #,##0_-;\-* #,##0_-;_-* &quot;-&quot;??_-;_-@_-"/>
    <numFmt numFmtId="168" formatCode="#,##0.0_);[Red]\(#,##0.0\)"/>
    <numFmt numFmtId="169" formatCode="_-* #,##0.0_-;\-* #,##0.0_-;_-* &quot;-&quot;??_-;_-@_-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Helv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Helv"/>
    </font>
    <font>
      <sz val="9.5"/>
      <name val="CG Times (E1)"/>
    </font>
    <font>
      <sz val="9.5"/>
      <name val="Arial"/>
      <family val="2"/>
    </font>
    <font>
      <b/>
      <sz val="9.5"/>
      <name val="Arial"/>
      <family val="2"/>
    </font>
    <font>
      <b/>
      <sz val="11"/>
      <name val="Arial"/>
      <family val="2"/>
    </font>
    <font>
      <sz val="9.5"/>
      <color indexed="10"/>
      <name val="Arial"/>
      <family val="2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1"/>
      <name val="Calibri"/>
      <family val="2"/>
    </font>
    <font>
      <sz val="12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9.5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0" fontId="6" fillId="0" borderId="0" applyFont="0" applyFill="0" applyBorder="0" applyAlignment="0" applyProtection="0"/>
    <xf numFmtId="0" fontId="7" fillId="0" borderId="0"/>
    <xf numFmtId="0" fontId="13" fillId="0" borderId="0"/>
    <xf numFmtId="9" fontId="1" fillId="0" borderId="0" applyFont="0" applyFill="0" applyBorder="0" applyAlignment="0" applyProtection="0"/>
    <xf numFmtId="0" fontId="13" fillId="0" borderId="0">
      <alignment wrapText="1"/>
    </xf>
    <xf numFmtId="0" fontId="13" fillId="0" borderId="0"/>
    <xf numFmtId="44" fontId="1" fillId="0" borderId="0" applyFont="0" applyFill="0" applyBorder="0" applyAlignment="0" applyProtection="0"/>
  </cellStyleXfs>
  <cellXfs count="622">
    <xf numFmtId="0" fontId="0" fillId="0" borderId="0" xfId="0"/>
    <xf numFmtId="0" fontId="3" fillId="0" borderId="0" xfId="3"/>
    <xf numFmtId="0" fontId="3" fillId="0" borderId="0" xfId="3" applyAlignment="1">
      <alignment wrapText="1"/>
    </xf>
    <xf numFmtId="165" fontId="3" fillId="0" borderId="0" xfId="4" applyNumberFormat="1" applyFont="1" applyFill="1" applyBorder="1" applyAlignment="1">
      <alignment horizontal="right"/>
    </xf>
    <xf numFmtId="38" fontId="3" fillId="0" borderId="0" xfId="1" applyNumberFormat="1" applyFont="1" applyFill="1" applyBorder="1" applyAlignment="1">
      <alignment horizontal="right"/>
    </xf>
    <xf numFmtId="164" fontId="3" fillId="0" borderId="0" xfId="1" applyFont="1" applyFill="1" applyBorder="1"/>
    <xf numFmtId="0" fontId="3" fillId="0" borderId="0" xfId="3" applyAlignment="1">
      <alignment horizontal="right"/>
    </xf>
    <xf numFmtId="38" fontId="3" fillId="0" borderId="0" xfId="4" applyNumberFormat="1" applyFont="1" applyFill="1" applyBorder="1" applyAlignment="1">
      <alignment horizontal="center"/>
    </xf>
    <xf numFmtId="38" fontId="3" fillId="0" borderId="0" xfId="1" applyNumberFormat="1" applyFont="1" applyFill="1" applyBorder="1" applyAlignment="1">
      <alignment horizontal="center"/>
    </xf>
    <xf numFmtId="165" fontId="3" fillId="0" borderId="0" xfId="3" quotePrefix="1" applyNumberFormat="1" applyAlignment="1">
      <alignment horizontal="center"/>
    </xf>
    <xf numFmtId="43" fontId="3" fillId="0" borderId="0" xfId="3" applyNumberFormat="1"/>
    <xf numFmtId="164" fontId="4" fillId="0" borderId="0" xfId="1" applyFont="1"/>
    <xf numFmtId="165" fontId="4" fillId="0" borderId="0" xfId="5" applyNumberFormat="1" applyFont="1"/>
    <xf numFmtId="165" fontId="4" fillId="0" borderId="7" xfId="5" applyNumberFormat="1" applyFont="1" applyBorder="1"/>
    <xf numFmtId="165" fontId="4" fillId="0" borderId="8" xfId="5" applyNumberFormat="1" applyFont="1" applyBorder="1"/>
    <xf numFmtId="165" fontId="3" fillId="0" borderId="20" xfId="5" applyNumberFormat="1" applyFont="1" applyBorder="1"/>
    <xf numFmtId="165" fontId="3" fillId="0" borderId="0" xfId="5" applyNumberFormat="1" applyFont="1"/>
    <xf numFmtId="165" fontId="4" fillId="0" borderId="9" xfId="5" applyNumberFormat="1" applyFont="1" applyBorder="1"/>
    <xf numFmtId="165" fontId="3" fillId="0" borderId="12" xfId="5" applyNumberFormat="1" applyFont="1" applyBorder="1"/>
    <xf numFmtId="165" fontId="4" fillId="0" borderId="10" xfId="5" applyNumberFormat="1" applyFont="1" applyBorder="1"/>
    <xf numFmtId="165" fontId="4" fillId="0" borderId="11" xfId="5" applyNumberFormat="1" applyFont="1" applyBorder="1"/>
    <xf numFmtId="165" fontId="3" fillId="0" borderId="15" xfId="5" applyNumberFormat="1" applyFont="1" applyBorder="1"/>
    <xf numFmtId="165" fontId="3" fillId="0" borderId="8" xfId="5" applyNumberFormat="1" applyFont="1" applyBorder="1"/>
    <xf numFmtId="165" fontId="4" fillId="0" borderId="0" xfId="5" applyNumberFormat="1" applyFont="1" applyAlignment="1">
      <alignment horizontal="left"/>
    </xf>
    <xf numFmtId="0" fontId="4" fillId="0" borderId="0" xfId="5" applyFont="1"/>
    <xf numFmtId="38" fontId="3" fillId="0" borderId="1" xfId="6" applyNumberFormat="1" applyFont="1" applyBorder="1" applyAlignment="1">
      <alignment horizontal="center" vertical="top"/>
    </xf>
    <xf numFmtId="38" fontId="3" fillId="0" borderId="18" xfId="6" applyNumberFormat="1" applyFont="1" applyBorder="1" applyAlignment="1">
      <alignment horizontal="center" vertical="top"/>
    </xf>
    <xf numFmtId="38" fontId="3" fillId="0" borderId="0" xfId="6" applyNumberFormat="1" applyFont="1" applyBorder="1" applyAlignment="1">
      <alignment horizontal="center" vertical="top"/>
    </xf>
    <xf numFmtId="38" fontId="3" fillId="0" borderId="0" xfId="6" applyNumberFormat="1" applyFont="1" applyAlignment="1">
      <alignment horizontal="center" vertical="top"/>
    </xf>
    <xf numFmtId="38" fontId="3" fillId="0" borderId="10" xfId="6" applyNumberFormat="1" applyFont="1" applyBorder="1" applyAlignment="1">
      <alignment horizontal="center" vertical="top"/>
    </xf>
    <xf numFmtId="38" fontId="3" fillId="0" borderId="15" xfId="6" applyNumberFormat="1" applyFont="1" applyBorder="1" applyAlignment="1">
      <alignment horizontal="center" vertical="top"/>
    </xf>
    <xf numFmtId="38" fontId="3" fillId="0" borderId="5" xfId="6" applyNumberFormat="1" applyFont="1" applyBorder="1" applyAlignment="1">
      <alignment horizontal="center" vertical="top"/>
    </xf>
    <xf numFmtId="38" fontId="3" fillId="0" borderId="16" xfId="6" applyNumberFormat="1" applyFont="1" applyBorder="1" applyAlignment="1">
      <alignment horizontal="center" vertical="top"/>
    </xf>
    <xf numFmtId="38" fontId="3" fillId="0" borderId="5" xfId="6" applyNumberFormat="1" applyFont="1" applyFill="1" applyBorder="1" applyAlignment="1">
      <alignment horizontal="center" vertical="top"/>
    </xf>
    <xf numFmtId="38" fontId="3" fillId="0" borderId="16" xfId="6" applyNumberFormat="1" applyFont="1" applyFill="1" applyBorder="1" applyAlignment="1">
      <alignment horizontal="center" vertical="top"/>
    </xf>
    <xf numFmtId="38" fontId="3" fillId="0" borderId="0" xfId="6" applyNumberFormat="1" applyFont="1" applyFill="1" applyBorder="1" applyAlignment="1">
      <alignment horizontal="center" vertical="top"/>
    </xf>
    <xf numFmtId="38" fontId="3" fillId="0" borderId="0" xfId="6" applyNumberFormat="1" applyFont="1" applyFill="1" applyAlignment="1">
      <alignment horizontal="center" vertical="top"/>
    </xf>
    <xf numFmtId="38" fontId="3" fillId="0" borderId="7" xfId="6" applyNumberFormat="1" applyFont="1" applyBorder="1" applyAlignment="1">
      <alignment vertical="top"/>
    </xf>
    <xf numFmtId="38" fontId="3" fillId="0" borderId="8" xfId="6" applyNumberFormat="1" applyFont="1" applyBorder="1" applyAlignment="1">
      <alignment vertical="top"/>
    </xf>
    <xf numFmtId="38" fontId="4" fillId="0" borderId="20" xfId="6" applyNumberFormat="1" applyFont="1" applyBorder="1" applyAlignment="1">
      <alignment horizontal="right" vertical="top"/>
    </xf>
    <xf numFmtId="38" fontId="3" fillId="0" borderId="0" xfId="6" applyNumberFormat="1" applyFont="1" applyBorder="1" applyAlignment="1">
      <alignment horizontal="right" vertical="top"/>
    </xf>
    <xf numFmtId="38" fontId="3" fillId="0" borderId="7" xfId="6" applyNumberFormat="1" applyFont="1" applyBorder="1" applyAlignment="1">
      <alignment horizontal="right" vertical="top"/>
    </xf>
    <xf numFmtId="38" fontId="3" fillId="0" borderId="12" xfId="6" applyNumberFormat="1" applyFont="1" applyBorder="1" applyAlignment="1">
      <alignment horizontal="right" vertical="top"/>
    </xf>
    <xf numFmtId="38" fontId="3" fillId="0" borderId="0" xfId="6" applyNumberFormat="1" applyFont="1" applyBorder="1" applyAlignment="1">
      <alignment vertical="top"/>
    </xf>
    <xf numFmtId="38" fontId="3" fillId="0" borderId="0" xfId="6" applyNumberFormat="1" applyFont="1" applyAlignment="1">
      <alignment vertical="top"/>
    </xf>
    <xf numFmtId="38" fontId="3" fillId="0" borderId="9" xfId="6" applyNumberFormat="1" applyFont="1" applyBorder="1" applyAlignment="1">
      <alignment vertical="top"/>
    </xf>
    <xf numFmtId="38" fontId="4" fillId="0" borderId="0" xfId="6" applyNumberFormat="1" applyFont="1" applyBorder="1" applyAlignment="1">
      <alignment vertical="top"/>
    </xf>
    <xf numFmtId="38" fontId="4" fillId="0" borderId="12" xfId="6" quotePrefix="1" applyNumberFormat="1" applyFont="1" applyBorder="1" applyAlignment="1">
      <alignment horizontal="right" vertical="top"/>
    </xf>
    <xf numFmtId="38" fontId="3" fillId="0" borderId="9" xfId="6" applyNumberFormat="1" applyFont="1" applyBorder="1" applyAlignment="1">
      <alignment horizontal="right" vertical="top"/>
    </xf>
    <xf numFmtId="38" fontId="4" fillId="0" borderId="12" xfId="6" quotePrefix="1" applyNumberFormat="1" applyFont="1" applyBorder="1" applyAlignment="1">
      <alignment vertical="top"/>
    </xf>
    <xf numFmtId="38" fontId="3" fillId="0" borderId="12" xfId="6" applyNumberFormat="1" applyFont="1" applyBorder="1" applyAlignment="1">
      <alignment vertical="top"/>
    </xf>
    <xf numFmtId="38" fontId="3" fillId="0" borderId="9" xfId="6" applyNumberFormat="1" applyFont="1" applyBorder="1" applyAlignment="1">
      <alignment vertical="center"/>
    </xf>
    <xf numFmtId="38" fontId="3" fillId="0" borderId="0" xfId="6" applyNumberFormat="1" applyFont="1" applyBorder="1" applyAlignment="1">
      <alignment vertical="center"/>
    </xf>
    <xf numFmtId="38" fontId="3" fillId="0" borderId="12" xfId="6" applyNumberFormat="1" applyFont="1" applyBorder="1" applyAlignment="1">
      <alignment vertical="center"/>
    </xf>
    <xf numFmtId="38" fontId="3" fillId="0" borderId="0" xfId="6" applyNumberFormat="1" applyFont="1" applyAlignment="1">
      <alignment vertical="center"/>
    </xf>
    <xf numFmtId="38" fontId="3" fillId="0" borderId="0" xfId="6" applyNumberFormat="1" applyFont="1" applyFill="1" applyBorder="1" applyAlignment="1">
      <alignment vertical="top"/>
    </xf>
    <xf numFmtId="38" fontId="3" fillId="0" borderId="0" xfId="6" applyNumberFormat="1" applyFont="1" applyBorder="1" applyAlignment="1" applyProtection="1">
      <alignment vertical="top"/>
      <protection locked="0"/>
    </xf>
    <xf numFmtId="38" fontId="3" fillId="0" borderId="12" xfId="6" applyNumberFormat="1" applyFont="1" applyBorder="1" applyAlignment="1" applyProtection="1">
      <alignment vertical="top"/>
      <protection locked="0"/>
    </xf>
    <xf numFmtId="38" fontId="3" fillId="0" borderId="9" xfId="6" applyNumberFormat="1" applyFont="1" applyBorder="1" applyAlignment="1" applyProtection="1">
      <alignment vertical="top"/>
      <protection locked="0"/>
    </xf>
    <xf numFmtId="38" fontId="4" fillId="0" borderId="12" xfId="6" applyNumberFormat="1" applyFont="1" applyBorder="1" applyAlignment="1">
      <alignment vertical="top"/>
    </xf>
    <xf numFmtId="38" fontId="4" fillId="0" borderId="9" xfId="6" applyNumberFormat="1" applyFont="1" applyBorder="1" applyAlignment="1">
      <alignment vertical="top"/>
    </xf>
    <xf numFmtId="38" fontId="3" fillId="0" borderId="0" xfId="6" applyNumberFormat="1" applyFont="1" applyFill="1" applyAlignment="1">
      <alignment vertical="top"/>
    </xf>
    <xf numFmtId="38" fontId="3" fillId="0" borderId="10" xfId="6" applyNumberFormat="1" applyFont="1" applyBorder="1" applyAlignment="1">
      <alignment vertical="top"/>
    </xf>
    <xf numFmtId="38" fontId="4" fillId="0" borderId="11" xfId="6" applyNumberFormat="1" applyFont="1" applyBorder="1" applyAlignment="1">
      <alignment vertical="top"/>
    </xf>
    <xf numFmtId="38" fontId="3" fillId="0" borderId="11" xfId="6" applyNumberFormat="1" applyFont="1" applyBorder="1" applyAlignment="1">
      <alignment vertical="top"/>
    </xf>
    <xf numFmtId="38" fontId="4" fillId="0" borderId="15" xfId="6" applyNumberFormat="1" applyFont="1" applyBorder="1" applyAlignment="1">
      <alignment vertical="top"/>
    </xf>
    <xf numFmtId="38" fontId="4" fillId="0" borderId="10" xfId="6" applyNumberFormat="1" applyFont="1" applyBorder="1" applyAlignment="1">
      <alignment vertical="top"/>
    </xf>
    <xf numFmtId="38" fontId="3" fillId="0" borderId="15" xfId="6" applyNumberFormat="1" applyFont="1" applyBorder="1" applyAlignment="1">
      <alignment vertical="top"/>
    </xf>
    <xf numFmtId="38" fontId="3" fillId="0" borderId="20" xfId="6" applyNumberFormat="1" applyFont="1" applyBorder="1" applyAlignment="1">
      <alignment horizontal="right" vertical="top"/>
    </xf>
    <xf numFmtId="38" fontId="3" fillId="0" borderId="9" xfId="6" applyNumberFormat="1" applyFont="1" applyFill="1" applyBorder="1" applyAlignment="1">
      <alignment vertical="top"/>
    </xf>
    <xf numFmtId="38" fontId="3" fillId="0" borderId="12" xfId="6" applyNumberFormat="1" applyFont="1" applyFill="1" applyBorder="1" applyAlignment="1">
      <alignment vertical="top"/>
    </xf>
    <xf numFmtId="38" fontId="3" fillId="0" borderId="9" xfId="6" applyNumberFormat="1" applyFont="1" applyFill="1" applyBorder="1" applyAlignment="1">
      <alignment vertical="center"/>
    </xf>
    <xf numFmtId="38" fontId="3" fillId="0" borderId="12" xfId="6" applyNumberFormat="1" applyFont="1" applyFill="1" applyBorder="1" applyAlignment="1">
      <alignment vertical="center"/>
    </xf>
    <xf numFmtId="38" fontId="3" fillId="0" borderId="0" xfId="6" applyNumberFormat="1" applyFont="1" applyFill="1" applyAlignment="1">
      <alignment vertical="center"/>
    </xf>
    <xf numFmtId="38" fontId="3" fillId="0" borderId="7" xfId="6" applyNumberFormat="1" applyFont="1" applyFill="1" applyBorder="1" applyAlignment="1">
      <alignment vertical="top"/>
    </xf>
    <xf numFmtId="38" fontId="3" fillId="0" borderId="8" xfId="6" applyNumberFormat="1" applyFont="1" applyFill="1" applyBorder="1" applyAlignment="1">
      <alignment vertical="top"/>
    </xf>
    <xf numFmtId="38" fontId="4" fillId="0" borderId="8" xfId="6" applyNumberFormat="1" applyFont="1" applyFill="1" applyBorder="1" applyAlignment="1">
      <alignment vertical="top"/>
    </xf>
    <xf numFmtId="38" fontId="3" fillId="0" borderId="20" xfId="6" applyNumberFormat="1" applyFont="1" applyFill="1" applyBorder="1" applyAlignment="1">
      <alignment vertical="top"/>
    </xf>
    <xf numFmtId="38" fontId="4" fillId="0" borderId="0" xfId="6" applyNumberFormat="1" applyFont="1" applyAlignment="1">
      <alignment vertical="top"/>
    </xf>
    <xf numFmtId="0" fontId="8" fillId="0" borderId="18" xfId="7" applyFont="1" applyBorder="1"/>
    <xf numFmtId="0" fontId="8" fillId="0" borderId="0" xfId="7" applyFont="1"/>
    <xf numFmtId="0" fontId="8" fillId="0" borderId="12" xfId="7" applyFont="1" applyBorder="1"/>
    <xf numFmtId="0" fontId="8" fillId="0" borderId="16" xfId="7" applyFont="1" applyBorder="1"/>
    <xf numFmtId="0" fontId="9" fillId="0" borderId="7" xfId="7" quotePrefix="1" applyFont="1" applyBorder="1" applyAlignment="1">
      <alignment horizontal="center"/>
    </xf>
    <xf numFmtId="0" fontId="9" fillId="0" borderId="8" xfId="7" quotePrefix="1" applyFont="1" applyBorder="1" applyAlignment="1">
      <alignment horizontal="center"/>
    </xf>
    <xf numFmtId="0" fontId="8" fillId="0" borderId="5" xfId="7" applyFont="1" applyBorder="1" applyAlignment="1">
      <alignment horizontal="fill"/>
    </xf>
    <xf numFmtId="0" fontId="10" fillId="0" borderId="6" xfId="7" applyFont="1" applyBorder="1" applyAlignment="1">
      <alignment horizontal="center"/>
    </xf>
    <xf numFmtId="0" fontId="8" fillId="0" borderId="16" xfId="7" applyFont="1" applyBorder="1" applyAlignment="1">
      <alignment horizontal="fill"/>
    </xf>
    <xf numFmtId="0" fontId="8" fillId="0" borderId="0" xfId="7" applyFont="1" applyAlignment="1">
      <alignment horizontal="fill"/>
    </xf>
    <xf numFmtId="0" fontId="8" fillId="0" borderId="7" xfId="7" applyFont="1" applyBorder="1" applyAlignment="1">
      <alignment horizontal="left"/>
    </xf>
    <xf numFmtId="0" fontId="8" fillId="0" borderId="8" xfId="7" applyFont="1" applyBorder="1"/>
    <xf numFmtId="0" fontId="9" fillId="0" borderId="20" xfId="7" applyFont="1" applyBorder="1" applyAlignment="1">
      <alignment horizontal="right"/>
    </xf>
    <xf numFmtId="0" fontId="8" fillId="0" borderId="0" xfId="7" applyFont="1" applyAlignment="1">
      <alignment horizontal="left"/>
    </xf>
    <xf numFmtId="0" fontId="10" fillId="0" borderId="8" xfId="7" applyFont="1" applyBorder="1" applyAlignment="1">
      <alignment horizontal="center"/>
    </xf>
    <xf numFmtId="165" fontId="8" fillId="0" borderId="0" xfId="7" applyNumberFormat="1" applyFont="1"/>
    <xf numFmtId="0" fontId="8" fillId="0" borderId="20" xfId="7" applyFont="1" applyBorder="1"/>
    <xf numFmtId="0" fontId="8" fillId="0" borderId="9" xfId="7" applyFont="1" applyBorder="1"/>
    <xf numFmtId="165" fontId="8" fillId="0" borderId="12" xfId="7" applyNumberFormat="1" applyFont="1" applyBorder="1"/>
    <xf numFmtId="165" fontId="8" fillId="0" borderId="9" xfId="7" applyNumberFormat="1" applyFont="1" applyBorder="1"/>
    <xf numFmtId="38" fontId="8" fillId="0" borderId="8" xfId="6" applyNumberFormat="1" applyFont="1" applyBorder="1" applyAlignment="1">
      <alignment horizontal="right"/>
    </xf>
    <xf numFmtId="0" fontId="9" fillId="0" borderId="0" xfId="7" applyFont="1" applyAlignment="1">
      <alignment horizontal="left"/>
    </xf>
    <xf numFmtId="165" fontId="9" fillId="0" borderId="12" xfId="7" applyNumberFormat="1" applyFont="1" applyBorder="1"/>
    <xf numFmtId="0" fontId="9" fillId="0" borderId="0" xfId="7" applyFont="1" applyAlignment="1">
      <alignment horizontal="center"/>
    </xf>
    <xf numFmtId="165" fontId="8" fillId="0" borderId="0" xfId="7" applyNumberFormat="1" applyFont="1" applyProtection="1">
      <protection locked="0"/>
    </xf>
    <xf numFmtId="165" fontId="8" fillId="0" borderId="12" xfId="7" applyNumberFormat="1" applyFont="1" applyBorder="1" applyProtection="1">
      <protection locked="0"/>
    </xf>
    <xf numFmtId="165" fontId="8" fillId="0" borderId="9" xfId="7" applyNumberFormat="1" applyFont="1" applyBorder="1" applyProtection="1">
      <protection locked="0"/>
    </xf>
    <xf numFmtId="165" fontId="9" fillId="0" borderId="0" xfId="7" applyNumberFormat="1" applyFont="1"/>
    <xf numFmtId="165" fontId="9" fillId="0" borderId="9" xfId="7" applyNumberFormat="1" applyFont="1" applyBorder="1"/>
    <xf numFmtId="0" fontId="9" fillId="0" borderId="9" xfId="7" applyFont="1" applyBorder="1" applyAlignment="1">
      <alignment horizontal="left"/>
    </xf>
    <xf numFmtId="0" fontId="11" fillId="0" borderId="0" xfId="7" applyFont="1" applyAlignment="1">
      <alignment horizontal="left"/>
    </xf>
    <xf numFmtId="38" fontId="8" fillId="0" borderId="12" xfId="6" applyNumberFormat="1" applyFont="1" applyBorder="1"/>
    <xf numFmtId="38" fontId="4" fillId="0" borderId="0" xfId="6" applyNumberFormat="1" applyFont="1" applyBorder="1" applyAlignment="1">
      <alignment horizontal="left"/>
    </xf>
    <xf numFmtId="166" fontId="8" fillId="0" borderId="0" xfId="7" applyNumberFormat="1" applyFont="1"/>
    <xf numFmtId="166" fontId="8" fillId="0" borderId="12" xfId="7" applyNumberFormat="1" applyFont="1" applyBorder="1"/>
    <xf numFmtId="166" fontId="8" fillId="0" borderId="9" xfId="7" applyNumberFormat="1" applyFont="1" applyBorder="1"/>
    <xf numFmtId="0" fontId="8" fillId="0" borderId="10" xfId="7" applyFont="1" applyBorder="1"/>
    <xf numFmtId="0" fontId="8" fillId="0" borderId="11" xfId="7" applyFont="1" applyBorder="1"/>
    <xf numFmtId="0" fontId="8" fillId="0" borderId="15" xfId="7" applyFont="1" applyBorder="1"/>
    <xf numFmtId="164" fontId="3" fillId="0" borderId="14" xfId="1" applyFont="1" applyBorder="1"/>
    <xf numFmtId="164" fontId="3" fillId="0" borderId="13" xfId="1" applyFont="1" applyBorder="1"/>
    <xf numFmtId="164" fontId="3" fillId="0" borderId="14" xfId="1" applyFont="1" applyBorder="1" applyAlignment="1">
      <alignment horizontal="centerContinuous"/>
    </xf>
    <xf numFmtId="164" fontId="3" fillId="0" borderId="0" xfId="1" applyFont="1"/>
    <xf numFmtId="164" fontId="3" fillId="0" borderId="9" xfId="1" applyFont="1" applyBorder="1"/>
    <xf numFmtId="164" fontId="3" fillId="0" borderId="9" xfId="1" applyFont="1" applyBorder="1" applyAlignment="1">
      <alignment horizontal="centerContinuous"/>
    </xf>
    <xf numFmtId="164" fontId="3" fillId="0" borderId="0" xfId="1" applyFont="1" applyBorder="1"/>
    <xf numFmtId="0" fontId="12" fillId="0" borderId="0" xfId="0" applyFont="1"/>
    <xf numFmtId="43" fontId="3" fillId="0" borderId="0" xfId="3" applyNumberFormat="1" applyAlignment="1">
      <alignment horizontal="right"/>
    </xf>
    <xf numFmtId="0" fontId="4" fillId="0" borderId="0" xfId="3" applyFont="1"/>
    <xf numFmtId="0" fontId="3" fillId="0" borderId="0" xfId="3" applyAlignment="1">
      <alignment horizontal="left"/>
    </xf>
    <xf numFmtId="0" fontId="3" fillId="0" borderId="0" xfId="3" applyAlignment="1">
      <alignment horizontal="center"/>
    </xf>
    <xf numFmtId="0" fontId="3" fillId="0" borderId="0" xfId="3" quotePrefix="1" applyAlignment="1">
      <alignment horizontal="center"/>
    </xf>
    <xf numFmtId="0" fontId="4" fillId="0" borderId="0" xfId="3" applyFont="1" applyAlignment="1">
      <alignment horizontal="left"/>
    </xf>
    <xf numFmtId="0" fontId="4" fillId="0" borderId="0" xfId="3" applyFont="1" applyAlignment="1">
      <alignment horizontal="center"/>
    </xf>
    <xf numFmtId="0" fontId="3" fillId="0" borderId="0" xfId="3" quotePrefix="1" applyAlignment="1">
      <alignment horizontal="left"/>
    </xf>
    <xf numFmtId="0" fontId="4" fillId="0" borderId="0" xfId="3" quotePrefix="1" applyFont="1" applyAlignment="1">
      <alignment horizontal="left"/>
    </xf>
    <xf numFmtId="0" fontId="4" fillId="0" borderId="0" xfId="3" quotePrefix="1" applyFont="1" applyAlignment="1">
      <alignment horizontal="center"/>
    </xf>
    <xf numFmtId="0" fontId="3" fillId="0" borderId="0" xfId="3" applyAlignment="1">
      <alignment horizontal="center" vertical="center"/>
    </xf>
    <xf numFmtId="0" fontId="3" fillId="0" borderId="0" xfId="3" quotePrefix="1" applyAlignment="1">
      <alignment horizontal="center" vertical="top"/>
    </xf>
    <xf numFmtId="0" fontId="3" fillId="0" borderId="0" xfId="3" quotePrefix="1" applyAlignment="1">
      <alignment horizontal="center" vertical="center"/>
    </xf>
    <xf numFmtId="0" fontId="3" fillId="0" borderId="0" xfId="3" quotePrefix="1" applyAlignment="1">
      <alignment horizontal="center" vertical="center" wrapText="1"/>
    </xf>
    <xf numFmtId="0" fontId="3" fillId="0" borderId="0" xfId="3" applyAlignment="1">
      <alignment horizontal="left" vertical="center"/>
    </xf>
    <xf numFmtId="0" fontId="3" fillId="0" borderId="0" xfId="3" quotePrefix="1"/>
    <xf numFmtId="0" fontId="3" fillId="0" borderId="0" xfId="3" applyAlignment="1">
      <alignment horizontal="center" wrapText="1"/>
    </xf>
    <xf numFmtId="38" fontId="3" fillId="0" borderId="0" xfId="4" quotePrefix="1" applyNumberFormat="1" applyFont="1" applyFill="1" applyBorder="1" applyAlignment="1">
      <alignment horizontal="center"/>
    </xf>
    <xf numFmtId="164" fontId="4" fillId="0" borderId="14" xfId="1" applyFont="1" applyBorder="1"/>
    <xf numFmtId="164" fontId="4" fillId="0" borderId="9" xfId="1" applyFont="1" applyBorder="1"/>
    <xf numFmtId="164" fontId="5" fillId="0" borderId="14" xfId="1" applyFont="1" applyBorder="1"/>
    <xf numFmtId="38" fontId="4" fillId="0" borderId="9" xfId="6" applyNumberFormat="1" applyFont="1" applyBorder="1" applyAlignment="1">
      <alignment vertical="center"/>
    </xf>
    <xf numFmtId="164" fontId="4" fillId="0" borderId="0" xfId="1" applyFont="1" applyBorder="1" applyAlignment="1">
      <alignment vertical="top"/>
    </xf>
    <xf numFmtId="164" fontId="8" fillId="0" borderId="0" xfId="1" applyFont="1" applyBorder="1"/>
    <xf numFmtId="164" fontId="9" fillId="0" borderId="8" xfId="1" quotePrefix="1" applyFont="1" applyBorder="1" applyAlignment="1">
      <alignment horizontal="center"/>
    </xf>
    <xf numFmtId="164" fontId="8" fillId="0" borderId="6" xfId="1" applyFont="1" applyFill="1" applyBorder="1" applyAlignment="1">
      <alignment horizontal="fill"/>
    </xf>
    <xf numFmtId="164" fontId="9" fillId="0" borderId="8" xfId="1" applyFont="1" applyBorder="1" applyAlignment="1">
      <alignment horizontal="right"/>
    </xf>
    <xf numFmtId="164" fontId="9" fillId="0" borderId="17" xfId="1" applyFont="1" applyBorder="1"/>
    <xf numFmtId="164" fontId="8" fillId="0" borderId="0" xfId="1" applyFont="1" applyBorder="1" applyProtection="1">
      <protection locked="0"/>
    </xf>
    <xf numFmtId="164" fontId="9" fillId="0" borderId="0" xfId="1" applyFont="1" applyBorder="1"/>
    <xf numFmtId="164" fontId="8" fillId="0" borderId="11" xfId="1" applyFont="1" applyBorder="1"/>
    <xf numFmtId="164" fontId="8" fillId="0" borderId="0" xfId="1" applyFont="1"/>
    <xf numFmtId="164" fontId="3" fillId="0" borderId="0" xfId="1" applyFont="1" applyBorder="1" applyAlignment="1">
      <alignment vertical="top"/>
    </xf>
    <xf numFmtId="164" fontId="3" fillId="0" borderId="0" xfId="1" applyFont="1" applyBorder="1" applyAlignment="1">
      <alignment vertical="center"/>
    </xf>
    <xf numFmtId="164" fontId="3" fillId="0" borderId="11" xfId="1" applyFont="1" applyBorder="1" applyAlignment="1">
      <alignment vertical="top"/>
    </xf>
    <xf numFmtId="164" fontId="4" fillId="0" borderId="0" xfId="1" applyFont="1" applyFill="1" applyBorder="1" applyAlignment="1">
      <alignment vertical="top"/>
    </xf>
    <xf numFmtId="0" fontId="3" fillId="0" borderId="0" xfId="3" quotePrefix="1" applyAlignment="1">
      <alignment horizontal="center" wrapText="1"/>
    </xf>
    <xf numFmtId="3" fontId="3" fillId="0" borderId="0" xfId="1" applyNumberFormat="1" applyFont="1" applyFill="1" applyBorder="1" applyAlignment="1"/>
    <xf numFmtId="3" fontId="3" fillId="0" borderId="14" xfId="1" applyNumberFormat="1" applyFont="1" applyBorder="1"/>
    <xf numFmtId="164" fontId="4" fillId="0" borderId="14" xfId="1" applyFont="1" applyFill="1" applyBorder="1" applyAlignment="1">
      <alignment horizontal="center"/>
    </xf>
    <xf numFmtId="164" fontId="4" fillId="0" borderId="14" xfId="1" quotePrefix="1" applyFont="1" applyFill="1" applyBorder="1" applyAlignment="1">
      <alignment horizontal="center"/>
    </xf>
    <xf numFmtId="164" fontId="3" fillId="0" borderId="8" xfId="1" applyFont="1" applyBorder="1"/>
    <xf numFmtId="3" fontId="3" fillId="0" borderId="0" xfId="1" applyNumberFormat="1" applyFont="1" applyBorder="1"/>
    <xf numFmtId="165" fontId="3" fillId="0" borderId="13" xfId="5" applyNumberFormat="1" applyFont="1" applyBorder="1"/>
    <xf numFmtId="165" fontId="4" fillId="0" borderId="14" xfId="5" applyNumberFormat="1" applyFont="1" applyBorder="1" applyAlignment="1">
      <alignment horizontal="left"/>
    </xf>
    <xf numFmtId="165" fontId="3" fillId="0" borderId="14" xfId="5" applyNumberFormat="1" applyFont="1" applyBorder="1"/>
    <xf numFmtId="165" fontId="4" fillId="0" borderId="14" xfId="5" applyNumberFormat="1" applyFont="1" applyBorder="1" applyAlignment="1">
      <alignment horizontal="center"/>
    </xf>
    <xf numFmtId="164" fontId="3" fillId="0" borderId="14" xfId="1" applyFont="1" applyFill="1" applyBorder="1" applyAlignment="1">
      <alignment horizontal="center"/>
    </xf>
    <xf numFmtId="164" fontId="3" fillId="0" borderId="13" xfId="1" applyFont="1" applyBorder="1" applyAlignment="1">
      <alignment horizontal="center"/>
    </xf>
    <xf numFmtId="43" fontId="4" fillId="0" borderId="14" xfId="3" applyNumberFormat="1" applyFont="1" applyBorder="1" applyAlignment="1">
      <alignment horizontal="center"/>
    </xf>
    <xf numFmtId="13" fontId="4" fillId="0" borderId="14" xfId="3" quotePrefix="1" applyNumberFormat="1" applyFont="1" applyBorder="1" applyAlignment="1">
      <alignment horizontal="center"/>
    </xf>
    <xf numFmtId="165" fontId="3" fillId="0" borderId="26" xfId="5" applyNumberFormat="1" applyFont="1" applyBorder="1" applyAlignment="1">
      <alignment horizontal="center"/>
    </xf>
    <xf numFmtId="164" fontId="3" fillId="0" borderId="26" xfId="1" applyFont="1" applyBorder="1" applyAlignment="1">
      <alignment horizontal="center"/>
    </xf>
    <xf numFmtId="167" fontId="4" fillId="0" borderId="6" xfId="1" applyNumberFormat="1" applyFont="1" applyBorder="1" applyAlignment="1">
      <alignment horizontal="right"/>
    </xf>
    <xf numFmtId="167" fontId="4" fillId="0" borderId="25" xfId="1" applyNumberFormat="1" applyFont="1" applyBorder="1" applyAlignment="1">
      <alignment horizontal="right"/>
    </xf>
    <xf numFmtId="43" fontId="3" fillId="0" borderId="0" xfId="4" applyFont="1" applyFill="1" applyBorder="1" applyAlignment="1">
      <alignment horizontal="right"/>
    </xf>
    <xf numFmtId="3" fontId="4" fillId="0" borderId="14" xfId="1" applyNumberFormat="1" applyFont="1" applyFill="1" applyBorder="1" applyAlignment="1">
      <alignment horizontal="center"/>
    </xf>
    <xf numFmtId="3" fontId="4" fillId="0" borderId="14" xfId="1" quotePrefix="1" applyNumberFormat="1" applyFont="1" applyFill="1" applyBorder="1" applyAlignment="1">
      <alignment horizontal="center"/>
    </xf>
    <xf numFmtId="164" fontId="3" fillId="0" borderId="0" xfId="1" applyFont="1" applyFill="1" applyBorder="1" applyAlignment="1"/>
    <xf numFmtId="164" fontId="3" fillId="0" borderId="14" xfId="1" applyFont="1" applyFill="1" applyBorder="1"/>
    <xf numFmtId="165" fontId="4" fillId="0" borderId="14" xfId="5" quotePrefix="1" applyNumberFormat="1" applyFont="1" applyBorder="1" applyAlignment="1">
      <alignment horizontal="center"/>
    </xf>
    <xf numFmtId="167" fontId="3" fillId="0" borderId="14" xfId="1" applyNumberFormat="1" applyFont="1" applyBorder="1"/>
    <xf numFmtId="167" fontId="3" fillId="0" borderId="0" xfId="1" applyNumberFormat="1" applyFont="1" applyBorder="1"/>
    <xf numFmtId="167" fontId="3" fillId="0" borderId="14" xfId="1" applyNumberFormat="1" applyFont="1" applyBorder="1" applyAlignment="1">
      <alignment horizontal="right"/>
    </xf>
    <xf numFmtId="167" fontId="3" fillId="0" borderId="26" xfId="1" applyNumberFormat="1" applyFont="1" applyBorder="1"/>
    <xf numFmtId="167" fontId="3" fillId="0" borderId="0" xfId="1" applyNumberFormat="1" applyFont="1" applyBorder="1" applyAlignment="1">
      <alignment horizontal="right"/>
    </xf>
    <xf numFmtId="167" fontId="3" fillId="0" borderId="14" xfId="1" applyNumberFormat="1" applyFont="1" applyBorder="1" applyAlignment="1">
      <alignment horizontal="center"/>
    </xf>
    <xf numFmtId="167" fontId="4" fillId="0" borderId="14" xfId="1" applyNumberFormat="1" applyFont="1" applyBorder="1" applyAlignment="1">
      <alignment horizontal="center"/>
    </xf>
    <xf numFmtId="167" fontId="4" fillId="0" borderId="25" xfId="1" applyNumberFormat="1" applyFont="1" applyBorder="1" applyAlignment="1">
      <alignment horizontal="center"/>
    </xf>
    <xf numFmtId="167" fontId="4" fillId="0" borderId="22" xfId="1" applyNumberFormat="1" applyFont="1" applyBorder="1" applyAlignment="1">
      <alignment horizontal="right"/>
    </xf>
    <xf numFmtId="167" fontId="4" fillId="0" borderId="14" xfId="1" applyNumberFormat="1" applyFont="1" applyBorder="1" applyAlignment="1">
      <alignment horizontal="left"/>
    </xf>
    <xf numFmtId="167" fontId="3" fillId="0" borderId="14" xfId="1" applyNumberFormat="1" applyFont="1" applyBorder="1" applyAlignment="1"/>
    <xf numFmtId="167" fontId="4" fillId="0" borderId="25" xfId="1" applyNumberFormat="1" applyFont="1" applyBorder="1" applyAlignment="1"/>
    <xf numFmtId="167" fontId="3" fillId="0" borderId="8" xfId="1" applyNumberFormat="1" applyFont="1" applyBorder="1" applyAlignment="1">
      <alignment horizontal="right"/>
    </xf>
    <xf numFmtId="167" fontId="3" fillId="0" borderId="13" xfId="1" applyNumberFormat="1" applyFont="1" applyBorder="1" applyAlignment="1">
      <alignment horizontal="right"/>
    </xf>
    <xf numFmtId="167" fontId="4" fillId="0" borderId="14" xfId="1" applyNumberFormat="1" applyFont="1" applyFill="1" applyBorder="1" applyAlignment="1">
      <alignment horizontal="left"/>
    </xf>
    <xf numFmtId="167" fontId="3" fillId="0" borderId="14" xfId="1" applyNumberFormat="1" applyFont="1" applyFill="1" applyBorder="1" applyAlignment="1">
      <alignment wrapText="1"/>
    </xf>
    <xf numFmtId="167" fontId="3" fillId="0" borderId="14" xfId="1" applyNumberFormat="1" applyFont="1" applyFill="1" applyBorder="1" applyAlignment="1">
      <alignment horizontal="center"/>
    </xf>
    <xf numFmtId="167" fontId="3" fillId="0" borderId="14" xfId="1" applyNumberFormat="1" applyFont="1" applyFill="1" applyBorder="1" applyAlignment="1">
      <alignment vertical="center" wrapText="1"/>
    </xf>
    <xf numFmtId="167" fontId="4" fillId="0" borderId="25" xfId="1" applyNumberFormat="1" applyFont="1" applyFill="1" applyBorder="1" applyAlignment="1">
      <alignment horizontal="left"/>
    </xf>
    <xf numFmtId="167" fontId="3" fillId="0" borderId="25" xfId="1" applyNumberFormat="1" applyFont="1" applyBorder="1" applyAlignment="1">
      <alignment horizontal="right"/>
    </xf>
    <xf numFmtId="167" fontId="4" fillId="0" borderId="0" xfId="1" applyNumberFormat="1" applyFont="1" applyBorder="1" applyAlignment="1">
      <alignment horizontal="right"/>
    </xf>
    <xf numFmtId="167" fontId="4" fillId="0" borderId="14" xfId="1" applyNumberFormat="1" applyFont="1" applyBorder="1" applyAlignment="1">
      <alignment horizontal="right"/>
    </xf>
    <xf numFmtId="167" fontId="4" fillId="0" borderId="25" xfId="1" applyNumberFormat="1" applyFont="1" applyFill="1" applyBorder="1" applyAlignment="1">
      <alignment horizontal="center"/>
    </xf>
    <xf numFmtId="167" fontId="3" fillId="0" borderId="14" xfId="1" applyNumberFormat="1" applyFont="1" applyFill="1" applyBorder="1"/>
    <xf numFmtId="164" fontId="4" fillId="0" borderId="0" xfId="1" applyFont="1" applyBorder="1" applyAlignment="1">
      <alignment horizontal="left"/>
    </xf>
    <xf numFmtId="164" fontId="3" fillId="0" borderId="0" xfId="1" applyFont="1" applyBorder="1" applyAlignment="1">
      <alignment horizontal="left"/>
    </xf>
    <xf numFmtId="164" fontId="4" fillId="0" borderId="0" xfId="1" applyFont="1" applyFill="1" applyBorder="1" applyAlignment="1">
      <alignment horizontal="left"/>
    </xf>
    <xf numFmtId="164" fontId="3" fillId="0" borderId="0" xfId="1" applyFont="1" applyFill="1" applyBorder="1" applyAlignment="1">
      <alignment wrapText="1"/>
    </xf>
    <xf numFmtId="164" fontId="3" fillId="0" borderId="0" xfId="1" applyFont="1" applyFill="1" applyBorder="1" applyAlignment="1">
      <alignment horizontal="left"/>
    </xf>
    <xf numFmtId="164" fontId="3" fillId="0" borderId="0" xfId="1" applyFont="1" applyBorder="1" applyAlignment="1">
      <alignment horizontal="centerContinuous"/>
    </xf>
    <xf numFmtId="164" fontId="4" fillId="0" borderId="0" xfId="1" applyFont="1" applyBorder="1"/>
    <xf numFmtId="165" fontId="4" fillId="0" borderId="11" xfId="5" applyNumberFormat="1" applyFont="1" applyBorder="1" applyAlignment="1">
      <alignment horizontal="left"/>
    </xf>
    <xf numFmtId="164" fontId="3" fillId="0" borderId="11" xfId="1" applyFont="1" applyBorder="1" applyAlignment="1">
      <alignment horizontal="centerContinuous"/>
    </xf>
    <xf numFmtId="0" fontId="3" fillId="0" borderId="9" xfId="3" applyBorder="1" applyAlignment="1">
      <alignment horizontal="center"/>
    </xf>
    <xf numFmtId="43" fontId="4" fillId="0" borderId="13" xfId="3" applyNumberFormat="1" applyFont="1" applyBorder="1" applyAlignment="1">
      <alignment horizontal="center"/>
    </xf>
    <xf numFmtId="3" fontId="3" fillId="0" borderId="13" xfId="1" applyNumberFormat="1" applyFont="1" applyFill="1" applyBorder="1" applyAlignment="1">
      <alignment horizontal="center"/>
    </xf>
    <xf numFmtId="3" fontId="4" fillId="0" borderId="13" xfId="1" applyNumberFormat="1" applyFont="1" applyFill="1" applyBorder="1" applyAlignment="1">
      <alignment horizontal="center"/>
    </xf>
    <xf numFmtId="164" fontId="4" fillId="0" borderId="13" xfId="1" applyFont="1" applyFill="1" applyBorder="1" applyAlignment="1">
      <alignment horizontal="center"/>
    </xf>
    <xf numFmtId="38" fontId="3" fillId="0" borderId="12" xfId="1" applyNumberFormat="1" applyFont="1" applyFill="1" applyBorder="1" applyAlignment="1">
      <alignment horizontal="center"/>
    </xf>
    <xf numFmtId="3" fontId="3" fillId="0" borderId="14" xfId="1" applyNumberFormat="1" applyFont="1" applyFill="1" applyBorder="1" applyAlignment="1">
      <alignment horizontal="center"/>
    </xf>
    <xf numFmtId="43" fontId="4" fillId="0" borderId="14" xfId="3" quotePrefix="1" applyNumberFormat="1" applyFont="1" applyBorder="1" applyAlignment="1">
      <alignment horizontal="center"/>
    </xf>
    <xf numFmtId="0" fontId="3" fillId="0" borderId="10" xfId="3" applyBorder="1" applyAlignment="1">
      <alignment horizontal="center"/>
    </xf>
    <xf numFmtId="0" fontId="3" fillId="0" borderId="11" xfId="3" applyBorder="1" applyAlignment="1">
      <alignment horizontal="center"/>
    </xf>
    <xf numFmtId="43" fontId="3" fillId="0" borderId="26" xfId="3" applyNumberFormat="1" applyBorder="1" applyAlignment="1">
      <alignment horizontal="center"/>
    </xf>
    <xf numFmtId="3" fontId="3" fillId="0" borderId="26" xfId="1" applyNumberFormat="1" applyFont="1" applyFill="1" applyBorder="1" applyAlignment="1"/>
    <xf numFmtId="164" fontId="3" fillId="0" borderId="26" xfId="1" quotePrefix="1" applyFont="1" applyFill="1" applyBorder="1" applyAlignment="1"/>
    <xf numFmtId="38" fontId="3" fillId="0" borderId="11" xfId="4" quotePrefix="1" applyNumberFormat="1" applyFont="1" applyFill="1" applyBorder="1" applyAlignment="1">
      <alignment horizontal="center"/>
    </xf>
    <xf numFmtId="38" fontId="3" fillId="0" borderId="15" xfId="1" applyNumberFormat="1" applyFont="1" applyFill="1" applyBorder="1" applyAlignment="1">
      <alignment horizontal="center"/>
    </xf>
    <xf numFmtId="43" fontId="3" fillId="0" borderId="13" xfId="3" applyNumberFormat="1" applyBorder="1" applyAlignment="1">
      <alignment horizontal="center"/>
    </xf>
    <xf numFmtId="164" fontId="3" fillId="0" borderId="13" xfId="1" applyFont="1" applyFill="1" applyBorder="1" applyAlignment="1">
      <alignment horizontal="center"/>
    </xf>
    <xf numFmtId="43" fontId="3" fillId="0" borderId="14" xfId="3" applyNumberFormat="1" applyBorder="1" applyAlignment="1">
      <alignment horizontal="center"/>
    </xf>
    <xf numFmtId="167" fontId="3" fillId="0" borderId="14" xfId="1" applyNumberFormat="1" applyFont="1" applyFill="1" applyBorder="1" applyAlignment="1"/>
    <xf numFmtId="167" fontId="3" fillId="0" borderId="0" xfId="1" applyNumberFormat="1" applyFont="1" applyFill="1" applyBorder="1" applyAlignment="1">
      <alignment horizontal="center"/>
    </xf>
    <xf numFmtId="167" fontId="3" fillId="0" borderId="0" xfId="1" applyNumberFormat="1" applyFont="1" applyFill="1" applyBorder="1"/>
    <xf numFmtId="167" fontId="3" fillId="0" borderId="0" xfId="1" applyNumberFormat="1" applyFont="1" applyFill="1" applyBorder="1" applyAlignment="1">
      <alignment horizontal="right"/>
    </xf>
    <xf numFmtId="167" fontId="3" fillId="0" borderId="0" xfId="1" applyNumberFormat="1" applyFont="1" applyFill="1" applyBorder="1" applyAlignment="1" applyProtection="1">
      <alignment horizontal="right"/>
    </xf>
    <xf numFmtId="167" fontId="3" fillId="0" borderId="0" xfId="1" applyNumberFormat="1" applyFont="1" applyFill="1" applyBorder="1" applyAlignment="1">
      <alignment horizontal="right" vertical="center"/>
    </xf>
    <xf numFmtId="167" fontId="4" fillId="0" borderId="14" xfId="1" applyNumberFormat="1" applyFont="1" applyFill="1" applyBorder="1" applyAlignment="1"/>
    <xf numFmtId="167" fontId="4" fillId="0" borderId="22" xfId="1" applyNumberFormat="1" applyFont="1" applyFill="1" applyBorder="1" applyAlignment="1"/>
    <xf numFmtId="167" fontId="3" fillId="0" borderId="14" xfId="1" applyNumberFormat="1" applyFont="1" applyFill="1" applyBorder="1" applyAlignment="1">
      <alignment horizontal="right"/>
    </xf>
    <xf numFmtId="167" fontId="3" fillId="0" borderId="23" xfId="1" applyNumberFormat="1" applyFont="1" applyFill="1" applyBorder="1" applyAlignment="1"/>
    <xf numFmtId="167" fontId="3" fillId="0" borderId="0" xfId="1" applyNumberFormat="1" applyFont="1" applyFill="1" applyBorder="1" applyAlignment="1">
      <alignment wrapText="1"/>
    </xf>
    <xf numFmtId="167" fontId="3" fillId="0" borderId="0" xfId="1" applyNumberFormat="1" applyFont="1" applyFill="1" applyBorder="1" applyAlignment="1">
      <alignment horizontal="right" wrapText="1"/>
    </xf>
    <xf numFmtId="167" fontId="4" fillId="0" borderId="0" xfId="1" applyNumberFormat="1" applyFont="1" applyFill="1" applyBorder="1" applyAlignment="1">
      <alignment horizontal="center"/>
    </xf>
    <xf numFmtId="167" fontId="4" fillId="0" borderId="14" xfId="1" applyNumberFormat="1" applyFont="1" applyFill="1" applyBorder="1" applyAlignment="1">
      <alignment horizontal="center"/>
    </xf>
    <xf numFmtId="167" fontId="4" fillId="0" borderId="14" xfId="1" quotePrefix="1" applyNumberFormat="1" applyFont="1" applyFill="1" applyBorder="1" applyAlignment="1">
      <alignment horizontal="center"/>
    </xf>
    <xf numFmtId="167" fontId="4" fillId="0" borderId="0" xfId="1" quotePrefix="1" applyNumberFormat="1" applyFont="1" applyFill="1" applyBorder="1" applyAlignment="1">
      <alignment horizontal="center"/>
    </xf>
    <xf numFmtId="167" fontId="4" fillId="0" borderId="14" xfId="1" applyNumberFormat="1" applyFont="1" applyFill="1" applyBorder="1" applyAlignment="1">
      <alignment horizontal="right"/>
    </xf>
    <xf numFmtId="0" fontId="4" fillId="0" borderId="14" xfId="1" applyNumberFormat="1" applyFont="1" applyFill="1" applyBorder="1" applyAlignment="1">
      <alignment horizontal="left" wrapText="1" indent="1"/>
    </xf>
    <xf numFmtId="0" fontId="3" fillId="0" borderId="14" xfId="1" applyNumberFormat="1" applyFont="1" applyFill="1" applyBorder="1" applyAlignment="1">
      <alignment horizontal="left" wrapText="1" indent="1"/>
    </xf>
    <xf numFmtId="0" fontId="4" fillId="0" borderId="26" xfId="1" applyNumberFormat="1" applyFont="1" applyFill="1" applyBorder="1" applyAlignment="1">
      <alignment horizontal="left" wrapText="1" indent="1"/>
    </xf>
    <xf numFmtId="0" fontId="3" fillId="0" borderId="13" xfId="1" applyNumberFormat="1" applyFont="1" applyFill="1" applyBorder="1" applyAlignment="1">
      <alignment horizontal="left" wrapText="1" indent="1"/>
    </xf>
    <xf numFmtId="0" fontId="3" fillId="0" borderId="0" xfId="1" applyNumberFormat="1" applyFont="1" applyFill="1" applyBorder="1" applyAlignment="1">
      <alignment horizontal="left" wrapText="1" indent="1"/>
    </xf>
    <xf numFmtId="0" fontId="4" fillId="0" borderId="14" xfId="1" applyNumberFormat="1" applyFont="1" applyFill="1" applyBorder="1" applyAlignment="1">
      <alignment horizontal="center" wrapText="1"/>
    </xf>
    <xf numFmtId="0" fontId="3" fillId="0" borderId="13" xfId="3" applyBorder="1"/>
    <xf numFmtId="0" fontId="3" fillId="0" borderId="26" xfId="3" applyBorder="1"/>
    <xf numFmtId="164" fontId="3" fillId="0" borderId="13" xfId="1" applyFont="1" applyFill="1" applyBorder="1"/>
    <xf numFmtId="164" fontId="3" fillId="0" borderId="26" xfId="1" applyFont="1" applyFill="1" applyBorder="1"/>
    <xf numFmtId="167" fontId="4" fillId="0" borderId="28" xfId="1" applyNumberFormat="1" applyFont="1" applyFill="1" applyBorder="1" applyAlignment="1"/>
    <xf numFmtId="0" fontId="3" fillId="0" borderId="14" xfId="3" applyBorder="1"/>
    <xf numFmtId="167" fontId="4" fillId="0" borderId="14" xfId="1" applyNumberFormat="1" applyFont="1" applyFill="1" applyBorder="1"/>
    <xf numFmtId="167" fontId="4" fillId="0" borderId="29" xfId="1" applyNumberFormat="1" applyFont="1" applyFill="1" applyBorder="1" applyAlignment="1"/>
    <xf numFmtId="38" fontId="3" fillId="0" borderId="8" xfId="4" applyNumberFormat="1" applyFont="1" applyFill="1" applyBorder="1" applyAlignment="1">
      <alignment horizontal="center"/>
    </xf>
    <xf numFmtId="38" fontId="3" fillId="0" borderId="20" xfId="1" applyNumberFormat="1" applyFont="1" applyFill="1" applyBorder="1" applyAlignment="1">
      <alignment horizontal="center"/>
    </xf>
    <xf numFmtId="0" fontId="3" fillId="0" borderId="8" xfId="3" applyBorder="1"/>
    <xf numFmtId="0" fontId="3" fillId="0" borderId="14" xfId="1" applyNumberFormat="1" applyFont="1" applyFill="1" applyBorder="1" applyAlignment="1">
      <alignment horizontal="left" vertical="center" wrapText="1" indent="1"/>
    </xf>
    <xf numFmtId="0" fontId="14" fillId="0" borderId="22" xfId="1" applyNumberFormat="1" applyFont="1" applyFill="1" applyBorder="1" applyAlignment="1">
      <alignment horizontal="left" wrapText="1" indent="1"/>
    </xf>
    <xf numFmtId="0" fontId="4" fillId="0" borderId="22" xfId="1" applyNumberFormat="1" applyFont="1" applyFill="1" applyBorder="1" applyAlignment="1">
      <alignment horizontal="left" wrapText="1" indent="1"/>
    </xf>
    <xf numFmtId="0" fontId="4" fillId="0" borderId="14" xfId="1" applyNumberFormat="1" applyFont="1" applyFill="1" applyBorder="1" applyAlignment="1">
      <alignment horizontal="left" vertical="center" wrapText="1" indent="1"/>
    </xf>
    <xf numFmtId="0" fontId="4" fillId="0" borderId="14" xfId="1" quotePrefix="1" applyNumberFormat="1" applyFont="1" applyFill="1" applyBorder="1" applyAlignment="1">
      <alignment horizontal="left" wrapText="1" indent="1"/>
    </xf>
    <xf numFmtId="0" fontId="3" fillId="0" borderId="24" xfId="1" applyNumberFormat="1" applyFont="1" applyFill="1" applyBorder="1" applyAlignment="1">
      <alignment horizontal="left" wrapText="1" indent="1"/>
    </xf>
    <xf numFmtId="0" fontId="3" fillId="0" borderId="14" xfId="1" quotePrefix="1" applyNumberFormat="1" applyFont="1" applyFill="1" applyBorder="1" applyAlignment="1">
      <alignment horizontal="left" vertical="justify" wrapText="1" indent="1"/>
    </xf>
    <xf numFmtId="0" fontId="4" fillId="0" borderId="14" xfId="1" applyNumberFormat="1" applyFont="1" applyFill="1" applyBorder="1" applyAlignment="1">
      <alignment horizontal="left" vertical="justify" wrapText="1" indent="1"/>
    </xf>
    <xf numFmtId="0" fontId="3" fillId="0" borderId="23" xfId="1" applyNumberFormat="1" applyFont="1" applyFill="1" applyBorder="1" applyAlignment="1">
      <alignment horizontal="left" wrapText="1" indent="1"/>
    </xf>
    <xf numFmtId="0" fontId="3" fillId="0" borderId="30" xfId="1" applyNumberFormat="1" applyFont="1" applyFill="1" applyBorder="1" applyAlignment="1">
      <alignment horizontal="left" wrapText="1" indent="1"/>
    </xf>
    <xf numFmtId="167" fontId="4" fillId="0" borderId="29" xfId="1" applyNumberFormat="1" applyFont="1" applyFill="1" applyBorder="1" applyAlignment="1">
      <alignment horizontal="right"/>
    </xf>
    <xf numFmtId="167" fontId="4" fillId="0" borderId="30" xfId="1" applyNumberFormat="1" applyFont="1" applyFill="1" applyBorder="1" applyAlignment="1"/>
    <xf numFmtId="167" fontId="4" fillId="0" borderId="8" xfId="1" applyNumberFormat="1" applyFont="1" applyBorder="1" applyAlignment="1">
      <alignment horizontal="right" vertical="top"/>
    </xf>
    <xf numFmtId="167" fontId="4" fillId="0" borderId="0" xfId="1" quotePrefix="1" applyNumberFormat="1" applyFont="1" applyBorder="1" applyAlignment="1">
      <alignment horizontal="right" vertical="top"/>
    </xf>
    <xf numFmtId="167" fontId="4" fillId="0" borderId="0" xfId="1" quotePrefix="1" applyNumberFormat="1" applyFont="1" applyBorder="1" applyAlignment="1">
      <alignment vertical="top"/>
    </xf>
    <xf numFmtId="167" fontId="3" fillId="0" borderId="0" xfId="1" applyNumberFormat="1" applyFont="1" applyBorder="1" applyAlignment="1">
      <alignment vertical="top"/>
    </xf>
    <xf numFmtId="167" fontId="3" fillId="0" borderId="0" xfId="1" applyNumberFormat="1" applyFont="1" applyAlignment="1">
      <alignment vertical="top"/>
    </xf>
    <xf numFmtId="167" fontId="4" fillId="0" borderId="11" xfId="1" applyNumberFormat="1" applyFont="1" applyBorder="1" applyAlignment="1">
      <alignment vertical="top"/>
    </xf>
    <xf numFmtId="167" fontId="3" fillId="0" borderId="0" xfId="1" applyNumberFormat="1" applyFont="1" applyFill="1" applyBorder="1" applyAlignment="1">
      <alignment vertical="top"/>
    </xf>
    <xf numFmtId="167" fontId="3" fillId="0" borderId="11" xfId="1" applyNumberFormat="1" applyFont="1" applyBorder="1" applyAlignment="1">
      <alignment vertical="top"/>
    </xf>
    <xf numFmtId="167" fontId="4" fillId="0" borderId="0" xfId="1" applyNumberFormat="1" applyFont="1" applyFill="1" applyBorder="1" applyAlignment="1">
      <alignment vertical="top"/>
    </xf>
    <xf numFmtId="167" fontId="4" fillId="0" borderId="17" xfId="1" applyNumberFormat="1" applyFont="1" applyFill="1" applyBorder="1" applyAlignment="1">
      <alignment vertical="top"/>
    </xf>
    <xf numFmtId="167" fontId="3" fillId="0" borderId="0" xfId="1" applyNumberFormat="1" applyFont="1" applyFill="1" applyBorder="1" applyAlignment="1">
      <alignment vertical="center" wrapText="1"/>
    </xf>
    <xf numFmtId="167" fontId="3" fillId="0" borderId="0" xfId="1" applyNumberFormat="1" applyFont="1" applyFill="1" applyBorder="1" applyAlignment="1">
      <alignment vertical="top" wrapText="1"/>
    </xf>
    <xf numFmtId="167" fontId="3" fillId="0" borderId="12" xfId="1" applyNumberFormat="1" applyFont="1" applyBorder="1" applyAlignment="1">
      <alignment horizontal="right"/>
    </xf>
    <xf numFmtId="167" fontId="4" fillId="0" borderId="20" xfId="1" applyNumberFormat="1" applyFont="1" applyBorder="1" applyAlignment="1">
      <alignment horizontal="right" vertical="top"/>
    </xf>
    <xf numFmtId="167" fontId="4" fillId="0" borderId="12" xfId="1" quotePrefix="1" applyNumberFormat="1" applyFont="1" applyBorder="1" applyAlignment="1">
      <alignment horizontal="right" vertical="top"/>
    </xf>
    <xf numFmtId="167" fontId="4" fillId="0" borderId="12" xfId="1" quotePrefix="1" applyNumberFormat="1" applyFont="1" applyBorder="1" applyAlignment="1">
      <alignment vertical="top"/>
    </xf>
    <xf numFmtId="167" fontId="4" fillId="0" borderId="12" xfId="1" applyNumberFormat="1" applyFont="1" applyBorder="1" applyAlignment="1">
      <alignment vertical="top"/>
    </xf>
    <xf numFmtId="167" fontId="3" fillId="0" borderId="12" xfId="1" applyNumberFormat="1" applyFont="1" applyBorder="1" applyAlignment="1">
      <alignment vertical="top"/>
    </xf>
    <xf numFmtId="167" fontId="4" fillId="0" borderId="31" xfId="1" applyNumberFormat="1" applyFont="1" applyBorder="1" applyAlignment="1">
      <alignment vertical="top"/>
    </xf>
    <xf numFmtId="167" fontId="4" fillId="0" borderId="15" xfId="1" applyNumberFormat="1" applyFont="1" applyBorder="1" applyAlignment="1">
      <alignment vertical="top"/>
    </xf>
    <xf numFmtId="38" fontId="4" fillId="0" borderId="7" xfId="6" applyNumberFormat="1" applyFont="1" applyBorder="1" applyAlignment="1">
      <alignment horizontal="right" vertical="top"/>
    </xf>
    <xf numFmtId="38" fontId="4" fillId="0" borderId="9" xfId="6" applyNumberFormat="1" applyFont="1" applyBorder="1" applyAlignment="1">
      <alignment horizontal="right" vertical="top"/>
    </xf>
    <xf numFmtId="164" fontId="3" fillId="0" borderId="9" xfId="1" applyFont="1" applyBorder="1" applyAlignment="1">
      <alignment vertical="center"/>
    </xf>
    <xf numFmtId="164" fontId="3" fillId="0" borderId="9" xfId="1" applyFont="1" applyBorder="1" applyAlignment="1">
      <alignment vertical="top"/>
    </xf>
    <xf numFmtId="164" fontId="3" fillId="0" borderId="9" xfId="1" quotePrefix="1" applyFont="1" applyBorder="1" applyAlignment="1">
      <alignment vertical="top"/>
    </xf>
    <xf numFmtId="164" fontId="3" fillId="0" borderId="9" xfId="1" applyFont="1" applyFill="1" applyBorder="1" applyAlignment="1">
      <alignment vertical="top"/>
    </xf>
    <xf numFmtId="164" fontId="3" fillId="0" borderId="9" xfId="1" quotePrefix="1" applyFont="1" applyFill="1" applyBorder="1" applyAlignment="1">
      <alignment vertical="top"/>
    </xf>
    <xf numFmtId="164" fontId="4" fillId="0" borderId="9" xfId="1" applyFont="1" applyBorder="1" applyAlignment="1">
      <alignment vertical="top"/>
    </xf>
    <xf numFmtId="167" fontId="3" fillId="0" borderId="12" xfId="1" applyNumberFormat="1" applyFont="1" applyFill="1" applyBorder="1" applyAlignment="1">
      <alignment vertical="top"/>
    </xf>
    <xf numFmtId="167" fontId="3" fillId="0" borderId="12" xfId="1" applyNumberFormat="1" applyFont="1" applyBorder="1" applyAlignment="1">
      <alignment vertical="center"/>
    </xf>
    <xf numFmtId="167" fontId="3" fillId="0" borderId="12" xfId="4" applyNumberFormat="1" applyFont="1" applyFill="1" applyBorder="1" applyAlignment="1">
      <alignment horizontal="right"/>
    </xf>
    <xf numFmtId="167" fontId="3" fillId="0" borderId="12" xfId="1" applyNumberFormat="1" applyFont="1" applyFill="1" applyBorder="1" applyAlignment="1">
      <alignment horizontal="right"/>
    </xf>
    <xf numFmtId="167" fontId="3" fillId="0" borderId="12" xfId="4" applyNumberFormat="1" applyFont="1" applyFill="1" applyBorder="1" applyAlignment="1">
      <alignment horizontal="center"/>
    </xf>
    <xf numFmtId="167" fontId="3" fillId="0" borderId="12" xfId="4" applyNumberFormat="1" applyFont="1" applyFill="1" applyBorder="1" applyAlignment="1">
      <alignment horizontal="center" wrapText="1"/>
    </xf>
    <xf numFmtId="167" fontId="4" fillId="0" borderId="12" xfId="1" applyNumberFormat="1" applyFont="1" applyFill="1" applyBorder="1" applyAlignment="1">
      <alignment vertical="top"/>
    </xf>
    <xf numFmtId="167" fontId="3" fillId="0" borderId="15" xfId="1" applyNumberFormat="1" applyFont="1" applyBorder="1" applyAlignment="1">
      <alignment vertical="top"/>
    </xf>
    <xf numFmtId="164" fontId="4" fillId="0" borderId="9" xfId="1" applyFont="1" applyFill="1" applyBorder="1" applyAlignment="1">
      <alignment vertical="top"/>
    </xf>
    <xf numFmtId="38" fontId="3" fillId="0" borderId="9" xfId="6" quotePrefix="1" applyNumberFormat="1" applyFont="1" applyFill="1" applyBorder="1" applyAlignment="1">
      <alignment vertical="top"/>
    </xf>
    <xf numFmtId="167" fontId="3" fillId="0" borderId="20" xfId="1" applyNumberFormat="1" applyFont="1" applyFill="1" applyBorder="1" applyAlignment="1">
      <alignment vertical="top"/>
    </xf>
    <xf numFmtId="167" fontId="4" fillId="0" borderId="19" xfId="1" applyNumberFormat="1" applyFont="1" applyBorder="1" applyAlignment="1">
      <alignment vertical="top"/>
    </xf>
    <xf numFmtId="38" fontId="4" fillId="0" borderId="7" xfId="6" applyNumberFormat="1" applyFont="1" applyFill="1" applyBorder="1" applyAlignment="1">
      <alignment vertical="top"/>
    </xf>
    <xf numFmtId="167" fontId="4" fillId="0" borderId="15" xfId="1" applyNumberFormat="1" applyFont="1" applyFill="1" applyBorder="1" applyAlignment="1">
      <alignment vertical="top"/>
    </xf>
    <xf numFmtId="43" fontId="3" fillId="0" borderId="14" xfId="1" applyNumberFormat="1" applyFont="1" applyFill="1" applyBorder="1"/>
    <xf numFmtId="3" fontId="3" fillId="0" borderId="14" xfId="9" applyNumberFormat="1" applyFont="1" applyFill="1" applyBorder="1"/>
    <xf numFmtId="167" fontId="3" fillId="0" borderId="0" xfId="3" applyNumberFormat="1"/>
    <xf numFmtId="4" fontId="3" fillId="0" borderId="0" xfId="3" applyNumberFormat="1"/>
    <xf numFmtId="164" fontId="3" fillId="0" borderId="14" xfId="1" applyFont="1" applyFill="1" applyBorder="1" applyAlignment="1"/>
    <xf numFmtId="164" fontId="3" fillId="0" borderId="14" xfId="1" applyFont="1" applyFill="1" applyBorder="1" applyAlignment="1" applyProtection="1"/>
    <xf numFmtId="164" fontId="3" fillId="0" borderId="0" xfId="1" applyFont="1" applyFill="1" applyBorder="1" applyAlignment="1">
      <alignment horizontal="right" vertical="center"/>
    </xf>
    <xf numFmtId="164" fontId="3" fillId="0" borderId="0" xfId="1" applyFont="1" applyFill="1" applyBorder="1" applyAlignment="1">
      <alignment horizontal="right"/>
    </xf>
    <xf numFmtId="4" fontId="3" fillId="0" borderId="14" xfId="1" applyNumberFormat="1" applyFont="1" applyFill="1" applyBorder="1" applyAlignment="1">
      <alignment horizontal="center"/>
    </xf>
    <xf numFmtId="167" fontId="4" fillId="0" borderId="22" xfId="1" applyNumberFormat="1" applyFont="1" applyFill="1" applyBorder="1" applyAlignment="1">
      <alignment horizontal="right"/>
    </xf>
    <xf numFmtId="164" fontId="4" fillId="0" borderId="22" xfId="1" applyFont="1" applyFill="1" applyBorder="1" applyAlignment="1">
      <alignment horizontal="right"/>
    </xf>
    <xf numFmtId="167" fontId="4" fillId="0" borderId="28" xfId="1" applyNumberFormat="1" applyFont="1" applyFill="1" applyBorder="1" applyAlignment="1">
      <alignment horizontal="right"/>
    </xf>
    <xf numFmtId="167" fontId="4" fillId="0" borderId="0" xfId="1" applyNumberFormat="1" applyFont="1" applyFill="1" applyBorder="1" applyAlignment="1">
      <alignment horizontal="right"/>
    </xf>
    <xf numFmtId="164" fontId="4" fillId="0" borderId="22" xfId="1" applyFont="1" applyFill="1" applyBorder="1" applyAlignment="1"/>
    <xf numFmtId="167" fontId="4" fillId="0" borderId="22" xfId="1" applyNumberFormat="1" applyFont="1" applyFill="1" applyBorder="1" applyAlignment="1">
      <alignment horizontal="center"/>
    </xf>
    <xf numFmtId="167" fontId="4" fillId="0" borderId="28" xfId="1" applyNumberFormat="1" applyFont="1" applyFill="1" applyBorder="1" applyAlignment="1">
      <alignment horizontal="center"/>
    </xf>
    <xf numFmtId="167" fontId="3" fillId="0" borderId="22" xfId="1" applyNumberFormat="1" applyFont="1" applyFill="1" applyBorder="1" applyAlignment="1"/>
    <xf numFmtId="167" fontId="4" fillId="0" borderId="22" xfId="1" applyNumberFormat="1" applyFont="1" applyFill="1" applyBorder="1" applyAlignment="1" applyProtection="1"/>
    <xf numFmtId="167" fontId="4" fillId="0" borderId="28" xfId="1" applyNumberFormat="1" applyFont="1" applyFill="1" applyBorder="1" applyAlignment="1" applyProtection="1"/>
    <xf numFmtId="167" fontId="4" fillId="0" borderId="22" xfId="1" applyNumberFormat="1" applyFont="1" applyFill="1" applyBorder="1" applyAlignment="1">
      <alignment vertical="center"/>
    </xf>
    <xf numFmtId="164" fontId="4" fillId="0" borderId="22" xfId="1" applyFont="1" applyFill="1" applyBorder="1" applyAlignment="1">
      <alignment vertical="center"/>
    </xf>
    <xf numFmtId="164" fontId="4" fillId="0" borderId="28" xfId="1" applyFont="1" applyFill="1" applyBorder="1" applyAlignment="1">
      <alignment vertical="center"/>
    </xf>
    <xf numFmtId="167" fontId="4" fillId="0" borderId="28" xfId="1" applyNumberFormat="1" applyFont="1" applyFill="1" applyBorder="1" applyAlignment="1">
      <alignment vertical="center"/>
    </xf>
    <xf numFmtId="167" fontId="3" fillId="0" borderId="14" xfId="1" applyNumberFormat="1" applyFont="1" applyFill="1" applyBorder="1" applyAlignment="1">
      <alignment horizontal="right" vertical="center"/>
    </xf>
    <xf numFmtId="167" fontId="3" fillId="0" borderId="28" xfId="1" applyNumberFormat="1" applyFont="1" applyFill="1" applyBorder="1" applyAlignment="1"/>
    <xf numFmtId="167" fontId="3" fillId="0" borderId="14" xfId="1" applyNumberFormat="1" applyFont="1" applyFill="1" applyBorder="1" applyAlignment="1" applyProtection="1">
      <alignment horizontal="right"/>
    </xf>
    <xf numFmtId="167" fontId="4" fillId="0" borderId="0" xfId="1" applyNumberFormat="1" applyFont="1" applyFill="1" applyBorder="1" applyAlignment="1"/>
    <xf numFmtId="4" fontId="3" fillId="0" borderId="14" xfId="1" applyNumberFormat="1" applyFont="1" applyFill="1" applyBorder="1" applyAlignment="1">
      <alignment wrapText="1"/>
    </xf>
    <xf numFmtId="4" fontId="3" fillId="0" borderId="14" xfId="1" applyNumberFormat="1" applyFont="1" applyFill="1" applyBorder="1" applyAlignment="1">
      <alignment vertical="center" wrapText="1"/>
    </xf>
    <xf numFmtId="164" fontId="4" fillId="0" borderId="22" xfId="1" applyFont="1" applyFill="1" applyBorder="1" applyAlignment="1">
      <alignment horizontal="center"/>
    </xf>
    <xf numFmtId="167" fontId="4" fillId="0" borderId="0" xfId="1" applyNumberFormat="1" applyFont="1" applyFill="1" applyBorder="1"/>
    <xf numFmtId="164" fontId="4" fillId="0" borderId="22" xfId="1" applyFont="1" applyFill="1" applyBorder="1" applyAlignment="1" applyProtection="1"/>
    <xf numFmtId="167" fontId="3" fillId="0" borderId="14" xfId="1" applyNumberFormat="1" applyFont="1" applyFill="1" applyBorder="1" applyAlignment="1" applyProtection="1"/>
    <xf numFmtId="167" fontId="3" fillId="0" borderId="14" xfId="1" applyNumberFormat="1" applyFont="1" applyFill="1" applyBorder="1" applyAlignment="1">
      <alignment vertical="center"/>
    </xf>
    <xf numFmtId="164" fontId="3" fillId="0" borderId="14" xfId="1" applyFont="1" applyFill="1" applyBorder="1" applyAlignment="1">
      <alignment vertical="center"/>
    </xf>
    <xf numFmtId="167" fontId="3" fillId="0" borderId="9" xfId="1" applyNumberFormat="1" applyFont="1" applyFill="1" applyBorder="1" applyAlignment="1"/>
    <xf numFmtId="164" fontId="3" fillId="0" borderId="22" xfId="1" applyFont="1" applyFill="1" applyBorder="1" applyAlignment="1"/>
    <xf numFmtId="0" fontId="14" fillId="0" borderId="14" xfId="1" applyNumberFormat="1" applyFont="1" applyFill="1" applyBorder="1" applyAlignment="1">
      <alignment horizontal="left" wrapText="1" indent="1"/>
    </xf>
    <xf numFmtId="164" fontId="4" fillId="0" borderId="14" xfId="1" applyFont="1" applyFill="1" applyBorder="1" applyAlignment="1"/>
    <xf numFmtId="43" fontId="3" fillId="0" borderId="0" xfId="4" applyFont="1" applyFill="1" applyBorder="1" applyAlignment="1">
      <alignment horizontal="left"/>
    </xf>
    <xf numFmtId="0" fontId="3" fillId="0" borderId="11" xfId="3" quotePrefix="1" applyBorder="1" applyAlignment="1">
      <alignment horizontal="left"/>
    </xf>
    <xf numFmtId="0" fontId="3" fillId="0" borderId="11" xfId="3" quotePrefix="1" applyBorder="1" applyAlignment="1">
      <alignment horizontal="center"/>
    </xf>
    <xf numFmtId="0" fontId="3" fillId="0" borderId="26" xfId="1" applyNumberFormat="1" applyFont="1" applyFill="1" applyBorder="1" applyAlignment="1">
      <alignment horizontal="left" wrapText="1" indent="1"/>
    </xf>
    <xf numFmtId="167" fontId="3" fillId="0" borderId="26" xfId="1" applyNumberFormat="1" applyFont="1" applyFill="1" applyBorder="1" applyAlignment="1"/>
    <xf numFmtId="164" fontId="3" fillId="0" borderId="26" xfId="1" applyFont="1" applyFill="1" applyBorder="1" applyAlignment="1"/>
    <xf numFmtId="167" fontId="3" fillId="0" borderId="11" xfId="1" applyNumberFormat="1" applyFont="1" applyFill="1" applyBorder="1" applyAlignment="1">
      <alignment horizontal="right"/>
    </xf>
    <xf numFmtId="167" fontId="3" fillId="0" borderId="11" xfId="1" applyNumberFormat="1" applyFont="1" applyFill="1" applyBorder="1"/>
    <xf numFmtId="167" fontId="3" fillId="0" borderId="26" xfId="1" applyNumberFormat="1" applyFont="1" applyFill="1" applyBorder="1"/>
    <xf numFmtId="0" fontId="3" fillId="0" borderId="11" xfId="3" applyBorder="1"/>
    <xf numFmtId="0" fontId="3" fillId="0" borderId="11" xfId="3" applyBorder="1" applyAlignment="1">
      <alignment horizontal="left"/>
    </xf>
    <xf numFmtId="167" fontId="3" fillId="0" borderId="26" xfId="1" applyNumberFormat="1" applyFont="1" applyFill="1" applyBorder="1" applyAlignment="1">
      <alignment horizontal="right"/>
    </xf>
    <xf numFmtId="167" fontId="4" fillId="0" borderId="23" xfId="1" applyNumberFormat="1" applyFont="1" applyFill="1" applyBorder="1" applyAlignment="1"/>
    <xf numFmtId="167" fontId="4" fillId="0" borderId="32" xfId="1" applyNumberFormat="1" applyFont="1" applyFill="1" applyBorder="1" applyAlignment="1"/>
    <xf numFmtId="167" fontId="4" fillId="0" borderId="26" xfId="1" applyNumberFormat="1" applyFont="1" applyFill="1" applyBorder="1" applyAlignment="1"/>
    <xf numFmtId="164" fontId="4" fillId="0" borderId="10" xfId="1" applyFont="1" applyBorder="1" applyAlignment="1">
      <alignment vertical="top"/>
    </xf>
    <xf numFmtId="164" fontId="4" fillId="0" borderId="11" xfId="1" applyFont="1" applyBorder="1" applyAlignment="1">
      <alignment vertical="top"/>
    </xf>
    <xf numFmtId="0" fontId="9" fillId="0" borderId="20" xfId="7" quotePrefix="1" applyFont="1" applyBorder="1" applyAlignment="1">
      <alignment horizontal="center"/>
    </xf>
    <xf numFmtId="165" fontId="8" fillId="2" borderId="12" xfId="7" applyNumberFormat="1" applyFont="1" applyFill="1" applyBorder="1"/>
    <xf numFmtId="165" fontId="9" fillId="0" borderId="31" xfId="7" applyNumberFormat="1" applyFont="1" applyBorder="1"/>
    <xf numFmtId="0" fontId="13" fillId="0" borderId="0" xfId="10">
      <alignment wrapText="1"/>
    </xf>
    <xf numFmtId="0" fontId="13" fillId="0" borderId="9" xfId="10" applyBorder="1" applyAlignment="1">
      <alignment horizontal="center"/>
    </xf>
    <xf numFmtId="168" fontId="13" fillId="0" borderId="0" xfId="6" applyNumberFormat="1" applyFont="1" applyFill="1" applyBorder="1" applyAlignment="1">
      <alignment wrapText="1"/>
    </xf>
    <xf numFmtId="0" fontId="13" fillId="0" borderId="12" xfId="10" applyBorder="1">
      <alignment wrapText="1"/>
    </xf>
    <xf numFmtId="0" fontId="13" fillId="0" borderId="10" xfId="10" applyBorder="1" applyAlignment="1">
      <alignment horizontal="center"/>
    </xf>
    <xf numFmtId="0" fontId="13" fillId="0" borderId="11" xfId="10" applyBorder="1">
      <alignment wrapText="1"/>
    </xf>
    <xf numFmtId="168" fontId="13" fillId="0" borderId="11" xfId="6" applyNumberFormat="1" applyFont="1" applyFill="1" applyBorder="1" applyAlignment="1">
      <alignment wrapText="1"/>
    </xf>
    <xf numFmtId="0" fontId="13" fillId="0" borderId="15" xfId="10" applyBorder="1">
      <alignment wrapText="1"/>
    </xf>
    <xf numFmtId="0" fontId="13" fillId="0" borderId="13" xfId="10" applyBorder="1" applyAlignment="1">
      <alignment horizontal="center"/>
    </xf>
    <xf numFmtId="0" fontId="13" fillId="0" borderId="8" xfId="10" applyBorder="1">
      <alignment wrapText="1"/>
    </xf>
    <xf numFmtId="0" fontId="13" fillId="0" borderId="20" xfId="10" applyBorder="1">
      <alignment wrapText="1"/>
    </xf>
    <xf numFmtId="168" fontId="13" fillId="0" borderId="8" xfId="6" applyNumberFormat="1" applyFont="1" applyFill="1" applyBorder="1" applyAlignment="1">
      <alignment wrapText="1"/>
    </xf>
    <xf numFmtId="0" fontId="4" fillId="0" borderId="14" xfId="10" applyFont="1" applyBorder="1" applyAlignment="1">
      <alignment horizontal="center"/>
    </xf>
    <xf numFmtId="0" fontId="4" fillId="0" borderId="0" xfId="10" applyFont="1" applyAlignment="1">
      <alignment horizontal="center"/>
    </xf>
    <xf numFmtId="0" fontId="4" fillId="0" borderId="12" xfId="10" applyFont="1" applyBorder="1" applyAlignment="1">
      <alignment horizontal="center"/>
    </xf>
    <xf numFmtId="168" fontId="4" fillId="0" borderId="0" xfId="6" applyNumberFormat="1" applyFont="1" applyFill="1" applyBorder="1" applyAlignment="1">
      <alignment horizontal="center"/>
    </xf>
    <xf numFmtId="0" fontId="13" fillId="0" borderId="26" xfId="10" applyBorder="1" applyAlignment="1">
      <alignment horizontal="center"/>
    </xf>
    <xf numFmtId="0" fontId="3" fillId="0" borderId="14" xfId="10" quotePrefix="1" applyFont="1" applyBorder="1" applyAlignment="1">
      <alignment horizontal="center" vertical="top"/>
    </xf>
    <xf numFmtId="0" fontId="3" fillId="0" borderId="0" xfId="10" applyFont="1" applyAlignment="1">
      <alignment vertical="top" wrapText="1"/>
    </xf>
    <xf numFmtId="0" fontId="3" fillId="0" borderId="12" xfId="10" applyFont="1" applyBorder="1" applyAlignment="1">
      <alignment vertical="top" wrapText="1"/>
    </xf>
    <xf numFmtId="169" fontId="3" fillId="0" borderId="0" xfId="1" applyNumberFormat="1" applyFont="1" applyFill="1" applyBorder="1" applyAlignment="1">
      <alignment vertical="top" wrapText="1"/>
    </xf>
    <xf numFmtId="0" fontId="3" fillId="0" borderId="14" xfId="10" applyFont="1" applyBorder="1" applyAlignment="1">
      <alignment horizontal="center" vertical="top"/>
    </xf>
    <xf numFmtId="40" fontId="8" fillId="0" borderId="0" xfId="6" applyFont="1" applyBorder="1" applyAlignment="1">
      <alignment vertical="top" wrapText="1"/>
    </xf>
    <xf numFmtId="40" fontId="8" fillId="0" borderId="0" xfId="6" applyFont="1" applyFill="1" applyBorder="1" applyAlignment="1">
      <alignment vertical="top" wrapText="1"/>
    </xf>
    <xf numFmtId="0" fontId="3" fillId="0" borderId="26" xfId="10" applyFont="1" applyBorder="1" applyAlignment="1">
      <alignment horizontal="center" vertical="top"/>
    </xf>
    <xf numFmtId="0" fontId="3" fillId="0" borderId="11" xfId="10" applyFont="1" applyBorder="1" applyAlignment="1">
      <alignment vertical="top" wrapText="1"/>
    </xf>
    <xf numFmtId="0" fontId="3" fillId="0" borderId="15" xfId="10" applyFont="1" applyBorder="1" applyAlignment="1">
      <alignment vertical="top" wrapText="1"/>
    </xf>
    <xf numFmtId="169" fontId="3" fillId="0" borderId="11" xfId="1" applyNumberFormat="1" applyFont="1" applyFill="1" applyBorder="1" applyAlignment="1">
      <alignment vertical="top" wrapText="1"/>
    </xf>
    <xf numFmtId="0" fontId="3" fillId="0" borderId="0" xfId="10" applyFont="1" applyAlignment="1">
      <alignment horizontal="center" vertical="top"/>
    </xf>
    <xf numFmtId="168" fontId="3" fillId="0" borderId="0" xfId="10" applyNumberFormat="1" applyFont="1" applyAlignment="1">
      <alignment vertical="top" wrapText="1"/>
    </xf>
    <xf numFmtId="0" fontId="4" fillId="0" borderId="14" xfId="10" applyFont="1" applyBorder="1" applyAlignment="1">
      <alignment horizontal="center" vertical="top"/>
    </xf>
    <xf numFmtId="0" fontId="4" fillId="0" borderId="0" xfId="10" applyFont="1" applyAlignment="1">
      <alignment vertical="top" wrapText="1"/>
    </xf>
    <xf numFmtId="0" fontId="4" fillId="0" borderId="12" xfId="10" applyFont="1" applyBorder="1" applyAlignment="1">
      <alignment vertical="top" wrapText="1"/>
    </xf>
    <xf numFmtId="169" fontId="16" fillId="0" borderId="0" xfId="1" applyNumberFormat="1" applyFont="1" applyFill="1" applyBorder="1" applyAlignment="1">
      <alignment vertical="top" wrapText="1"/>
    </xf>
    <xf numFmtId="168" fontId="4" fillId="0" borderId="0" xfId="10" applyNumberFormat="1" applyFont="1" applyAlignment="1">
      <alignment vertical="top" wrapText="1"/>
    </xf>
    <xf numFmtId="168" fontId="16" fillId="0" borderId="0" xfId="6" applyNumberFormat="1" applyFont="1" applyFill="1" applyBorder="1" applyAlignment="1">
      <alignment vertical="top" wrapText="1"/>
    </xf>
    <xf numFmtId="0" fontId="4" fillId="0" borderId="26" xfId="10" applyFont="1" applyBorder="1" applyAlignment="1">
      <alignment horizontal="center" vertical="top"/>
    </xf>
    <xf numFmtId="0" fontId="4" fillId="0" borderId="11" xfId="10" applyFont="1" applyBorder="1" applyAlignment="1">
      <alignment vertical="top" wrapText="1"/>
    </xf>
    <xf numFmtId="0" fontId="4" fillId="0" borderId="15" xfId="10" applyFont="1" applyBorder="1" applyAlignment="1">
      <alignment vertical="top" wrapText="1"/>
    </xf>
    <xf numFmtId="168" fontId="16" fillId="0" borderId="11" xfId="6" applyNumberFormat="1" applyFont="1" applyFill="1" applyBorder="1" applyAlignment="1">
      <alignment vertical="top" wrapText="1"/>
    </xf>
    <xf numFmtId="0" fontId="13" fillId="0" borderId="26" xfId="10" applyBorder="1" applyAlignment="1">
      <alignment horizontal="center" vertical="top"/>
    </xf>
    <xf numFmtId="0" fontId="13" fillId="0" borderId="11" xfId="10" applyBorder="1" applyAlignment="1">
      <alignment vertical="top" wrapText="1"/>
    </xf>
    <xf numFmtId="0" fontId="13" fillId="0" borderId="15" xfId="10" applyBorder="1" applyAlignment="1">
      <alignment vertical="top" wrapText="1"/>
    </xf>
    <xf numFmtId="168" fontId="13" fillId="0" borderId="11" xfId="6" applyNumberFormat="1" applyFont="1" applyFill="1" applyBorder="1" applyAlignment="1">
      <alignment vertical="top" wrapText="1"/>
    </xf>
    <xf numFmtId="0" fontId="13" fillId="0" borderId="0" xfId="10" applyAlignment="1">
      <alignment vertical="top" wrapText="1"/>
    </xf>
    <xf numFmtId="0" fontId="13" fillId="0" borderId="14" xfId="10" applyBorder="1" applyAlignment="1">
      <alignment horizontal="center"/>
    </xf>
    <xf numFmtId="0" fontId="17" fillId="0" borderId="0" xfId="11" applyFont="1" applyAlignment="1">
      <alignment vertical="center"/>
    </xf>
    <xf numFmtId="8" fontId="13" fillId="0" borderId="0" xfId="10" applyNumberFormat="1">
      <alignment wrapText="1"/>
    </xf>
    <xf numFmtId="4" fontId="13" fillId="0" borderId="0" xfId="10" applyNumberFormat="1">
      <alignment wrapText="1"/>
    </xf>
    <xf numFmtId="40" fontId="17" fillId="0" borderId="0" xfId="6" applyFont="1" applyAlignment="1">
      <alignment vertical="center"/>
    </xf>
    <xf numFmtId="40" fontId="13" fillId="0" borderId="0" xfId="10" applyNumberFormat="1">
      <alignment wrapText="1"/>
    </xf>
    <xf numFmtId="0" fontId="17" fillId="0" borderId="0" xfId="11" applyFont="1"/>
    <xf numFmtId="164" fontId="9" fillId="0" borderId="0" xfId="1" quotePrefix="1" applyFont="1" applyBorder="1"/>
    <xf numFmtId="0" fontId="18" fillId="0" borderId="0" xfId="10" applyFont="1">
      <alignment wrapText="1"/>
    </xf>
    <xf numFmtId="0" fontId="18" fillId="0" borderId="0" xfId="10" applyFont="1" applyAlignment="1">
      <alignment horizontal="center" wrapText="1"/>
    </xf>
    <xf numFmtId="40" fontId="18" fillId="0" borderId="0" xfId="6" applyFont="1" applyFill="1" applyAlignment="1">
      <alignment wrapText="1"/>
    </xf>
    <xf numFmtId="0" fontId="18" fillId="0" borderId="0" xfId="10" applyFont="1" applyAlignment="1">
      <alignment horizontal="center"/>
    </xf>
    <xf numFmtId="0" fontId="14" fillId="0" borderId="0" xfId="10" applyFont="1" applyAlignment="1">
      <alignment horizontal="center" wrapText="1"/>
    </xf>
    <xf numFmtId="0" fontId="18" fillId="0" borderId="0" xfId="10" applyFont="1" applyAlignment="1">
      <alignment horizontal="right"/>
    </xf>
    <xf numFmtId="40" fontId="14" fillId="0" borderId="0" xfId="6" applyFont="1" applyFill="1" applyAlignment="1">
      <alignment wrapText="1"/>
    </xf>
    <xf numFmtId="0" fontId="14" fillId="0" borderId="0" xfId="10" applyFont="1">
      <alignment wrapText="1"/>
    </xf>
    <xf numFmtId="0" fontId="18" fillId="0" borderId="0" xfId="10" quotePrefix="1" applyFont="1" applyAlignment="1">
      <alignment horizontal="right"/>
    </xf>
    <xf numFmtId="40" fontId="14" fillId="0" borderId="0" xfId="6" applyFont="1" applyFill="1" applyAlignment="1">
      <alignment horizontal="left" wrapText="1"/>
    </xf>
    <xf numFmtId="0" fontId="14" fillId="0" borderId="0" xfId="10" applyFont="1" applyAlignment="1">
      <alignment horizontal="left" wrapText="1"/>
    </xf>
    <xf numFmtId="0" fontId="14" fillId="0" borderId="0" xfId="10" applyFont="1" applyAlignment="1">
      <alignment horizontal="center"/>
    </xf>
    <xf numFmtId="167" fontId="19" fillId="0" borderId="22" xfId="1" applyNumberFormat="1" applyFont="1" applyFill="1" applyBorder="1" applyAlignment="1"/>
    <xf numFmtId="167" fontId="20" fillId="0" borderId="14" xfId="1" applyNumberFormat="1" applyFont="1" applyFill="1" applyBorder="1" applyAlignment="1"/>
    <xf numFmtId="167" fontId="19" fillId="0" borderId="29" xfId="1" applyNumberFormat="1" applyFont="1" applyFill="1" applyBorder="1" applyAlignment="1"/>
    <xf numFmtId="167" fontId="20" fillId="0" borderId="0" xfId="1" applyNumberFormat="1" applyFont="1" applyBorder="1" applyAlignment="1">
      <alignment horizontal="right"/>
    </xf>
    <xf numFmtId="167" fontId="19" fillId="0" borderId="21" xfId="1" applyNumberFormat="1" applyFont="1" applyBorder="1" applyAlignment="1">
      <alignment horizontal="right"/>
    </xf>
    <xf numFmtId="167" fontId="20" fillId="0" borderId="14" xfId="1" applyNumberFormat="1" applyFont="1" applyBorder="1" applyAlignment="1"/>
    <xf numFmtId="167" fontId="19" fillId="0" borderId="25" xfId="1" applyNumberFormat="1" applyFont="1" applyBorder="1" applyAlignment="1">
      <alignment horizontal="right"/>
    </xf>
    <xf numFmtId="167" fontId="20" fillId="0" borderId="12" xfId="4" applyNumberFormat="1" applyFont="1" applyFill="1" applyBorder="1" applyAlignment="1">
      <alignment horizontal="right"/>
    </xf>
    <xf numFmtId="167" fontId="20" fillId="0" borderId="12" xfId="1" applyNumberFormat="1" applyFont="1" applyBorder="1" applyAlignment="1">
      <alignment vertical="top"/>
    </xf>
    <xf numFmtId="167" fontId="19" fillId="0" borderId="31" xfId="1" applyNumberFormat="1" applyFont="1" applyBorder="1" applyAlignment="1">
      <alignment vertical="top"/>
    </xf>
    <xf numFmtId="167" fontId="19" fillId="0" borderId="12" xfId="1" applyNumberFormat="1" applyFont="1" applyBorder="1" applyAlignment="1">
      <alignment vertical="top"/>
    </xf>
    <xf numFmtId="164" fontId="21" fillId="0" borderId="0" xfId="1" applyFont="1" applyBorder="1"/>
    <xf numFmtId="0" fontId="21" fillId="0" borderId="0" xfId="7" applyFont="1" applyAlignment="1">
      <alignment horizontal="left"/>
    </xf>
    <xf numFmtId="164" fontId="19" fillId="0" borderId="0" xfId="1" applyFont="1" applyAlignment="1">
      <alignment vertical="top"/>
    </xf>
    <xf numFmtId="0" fontId="3" fillId="0" borderId="6" xfId="3" applyBorder="1" applyAlignment="1">
      <alignment horizontal="left"/>
    </xf>
    <xf numFmtId="0" fontId="3" fillId="0" borderId="6" xfId="3" applyBorder="1" applyAlignment="1">
      <alignment horizontal="center"/>
    </xf>
    <xf numFmtId="0" fontId="3" fillId="0" borderId="6" xfId="3" applyBorder="1" applyAlignment="1">
      <alignment horizontal="center" vertical="center"/>
    </xf>
    <xf numFmtId="167" fontId="3" fillId="0" borderId="25" xfId="1" applyNumberFormat="1" applyFont="1" applyFill="1" applyBorder="1" applyAlignment="1">
      <alignment horizontal="right"/>
    </xf>
    <xf numFmtId="167" fontId="3" fillId="0" borderId="25" xfId="1" applyNumberFormat="1" applyFont="1" applyFill="1" applyBorder="1" applyAlignment="1"/>
    <xf numFmtId="167" fontId="3" fillId="0" borderId="6" xfId="1" applyNumberFormat="1" applyFont="1" applyFill="1" applyBorder="1" applyAlignment="1">
      <alignment horizontal="right"/>
    </xf>
    <xf numFmtId="167" fontId="3" fillId="0" borderId="6" xfId="1" applyNumberFormat="1" applyFont="1" applyFill="1" applyBorder="1"/>
    <xf numFmtId="167" fontId="3" fillId="0" borderId="25" xfId="1" applyNumberFormat="1" applyFont="1" applyFill="1" applyBorder="1"/>
    <xf numFmtId="0" fontId="3" fillId="0" borderId="6" xfId="3" applyBorder="1"/>
    <xf numFmtId="164" fontId="4" fillId="0" borderId="29" xfId="1" applyFont="1" applyFill="1" applyBorder="1" applyAlignment="1"/>
    <xf numFmtId="167" fontId="4" fillId="0" borderId="36" xfId="1" applyNumberFormat="1" applyFont="1" applyFill="1" applyBorder="1" applyAlignment="1"/>
    <xf numFmtId="167" fontId="4" fillId="0" borderId="36" xfId="1" applyNumberFormat="1" applyFont="1" applyFill="1" applyBorder="1" applyAlignment="1">
      <alignment horizontal="right"/>
    </xf>
    <xf numFmtId="167" fontId="4" fillId="0" borderId="36" xfId="1" applyNumberFormat="1" applyFont="1" applyFill="1" applyBorder="1" applyAlignment="1">
      <alignment horizontal="center"/>
    </xf>
    <xf numFmtId="167" fontId="4" fillId="0" borderId="36" xfId="1" applyNumberFormat="1" applyFont="1" applyFill="1" applyBorder="1" applyAlignment="1" applyProtection="1"/>
    <xf numFmtId="164" fontId="4" fillId="0" borderId="36" xfId="1" applyFont="1" applyFill="1" applyBorder="1" applyAlignment="1">
      <alignment vertical="center"/>
    </xf>
    <xf numFmtId="167" fontId="4" fillId="0" borderId="36" xfId="1" applyNumberFormat="1" applyFont="1" applyFill="1" applyBorder="1" applyAlignment="1">
      <alignment vertical="center"/>
    </xf>
    <xf numFmtId="167" fontId="3" fillId="0" borderId="36" xfId="1" applyNumberFormat="1" applyFont="1" applyFill="1" applyBorder="1" applyAlignment="1"/>
    <xf numFmtId="167" fontId="4" fillId="0" borderId="37" xfId="1" applyNumberFormat="1" applyFont="1" applyFill="1" applyBorder="1" applyAlignment="1"/>
    <xf numFmtId="167" fontId="4" fillId="0" borderId="38" xfId="1" applyNumberFormat="1" applyFont="1" applyFill="1" applyBorder="1" applyAlignment="1"/>
    <xf numFmtId="0" fontId="3" fillId="0" borderId="9" xfId="1" applyNumberFormat="1" applyFont="1" applyFill="1" applyBorder="1" applyAlignment="1">
      <alignment horizontal="left" wrapText="1" indent="1"/>
    </xf>
    <xf numFmtId="0" fontId="3" fillId="0" borderId="10" xfId="1" applyNumberFormat="1" applyFont="1" applyFill="1" applyBorder="1" applyAlignment="1">
      <alignment horizontal="left" wrapText="1" indent="1"/>
    </xf>
    <xf numFmtId="167" fontId="4" fillId="0" borderId="9" xfId="1" applyNumberFormat="1" applyFont="1" applyFill="1" applyBorder="1" applyAlignment="1">
      <alignment horizontal="right"/>
    </xf>
    <xf numFmtId="167" fontId="4" fillId="0" borderId="9" xfId="1" applyNumberFormat="1" applyFont="1" applyFill="1" applyBorder="1" applyAlignment="1"/>
    <xf numFmtId="167" fontId="3" fillId="0" borderId="10" xfId="1" applyNumberFormat="1" applyFont="1" applyFill="1" applyBorder="1" applyAlignment="1"/>
    <xf numFmtId="167" fontId="3" fillId="0" borderId="9" xfId="1" applyNumberFormat="1" applyFont="1" applyFill="1" applyBorder="1" applyAlignment="1">
      <alignment vertical="center"/>
    </xf>
    <xf numFmtId="4" fontId="3" fillId="0" borderId="14" xfId="3" applyNumberFormat="1" applyBorder="1"/>
    <xf numFmtId="167" fontId="3" fillId="0" borderId="9" xfId="1" applyNumberFormat="1" applyFont="1" applyFill="1" applyBorder="1" applyAlignment="1">
      <alignment horizontal="right"/>
    </xf>
    <xf numFmtId="164" fontId="4" fillId="0" borderId="23" xfId="1" applyFont="1" applyFill="1" applyBorder="1" applyAlignment="1"/>
    <xf numFmtId="167" fontId="3" fillId="0" borderId="9" xfId="1" applyNumberFormat="1" applyFont="1" applyFill="1" applyBorder="1"/>
    <xf numFmtId="167" fontId="3" fillId="0" borderId="10" xfId="1" applyNumberFormat="1" applyFont="1" applyFill="1" applyBorder="1" applyAlignment="1">
      <alignment horizontal="right"/>
    </xf>
    <xf numFmtId="0" fontId="3" fillId="0" borderId="7" xfId="1" applyNumberFormat="1" applyFont="1" applyFill="1" applyBorder="1" applyAlignment="1">
      <alignment horizontal="left" wrapText="1" indent="1"/>
    </xf>
    <xf numFmtId="0" fontId="4" fillId="0" borderId="9" xfId="1" applyNumberFormat="1" applyFont="1" applyFill="1" applyBorder="1" applyAlignment="1">
      <alignment horizontal="left" wrapText="1" indent="1"/>
    </xf>
    <xf numFmtId="0" fontId="3" fillId="0" borderId="9" xfId="1" applyNumberFormat="1" applyFont="1" applyFill="1" applyBorder="1" applyAlignment="1">
      <alignment horizontal="left" vertical="center" wrapText="1" indent="1"/>
    </xf>
    <xf numFmtId="0" fontId="14" fillId="0" borderId="28" xfId="1" applyNumberFormat="1" applyFont="1" applyFill="1" applyBorder="1" applyAlignment="1">
      <alignment horizontal="left" wrapText="1" indent="1"/>
    </xf>
    <xf numFmtId="0" fontId="4" fillId="0" borderId="28" xfId="1" applyNumberFormat="1" applyFont="1" applyFill="1" applyBorder="1" applyAlignment="1">
      <alignment horizontal="left" wrapText="1" indent="1"/>
    </xf>
    <xf numFmtId="0" fontId="3" fillId="0" borderId="9" xfId="1" applyNumberFormat="1" applyFont="1" applyFill="1" applyBorder="1" applyAlignment="1">
      <alignment horizontal="left" vertical="justify" wrapText="1" indent="1"/>
    </xf>
    <xf numFmtId="0" fontId="4" fillId="0" borderId="9" xfId="1" applyNumberFormat="1" applyFont="1" applyFill="1" applyBorder="1" applyAlignment="1">
      <alignment horizontal="left" vertical="center" wrapText="1" indent="1"/>
    </xf>
    <xf numFmtId="0" fontId="4" fillId="0" borderId="28" xfId="1" applyNumberFormat="1" applyFont="1" applyFill="1" applyBorder="1" applyAlignment="1">
      <alignment horizontal="left" vertical="center" wrapText="1" indent="1"/>
    </xf>
    <xf numFmtId="0" fontId="4" fillId="0" borderId="5" xfId="1" applyNumberFormat="1" applyFont="1" applyFill="1" applyBorder="1" applyAlignment="1">
      <alignment horizontal="left" wrapText="1" indent="1"/>
    </xf>
    <xf numFmtId="0" fontId="3" fillId="0" borderId="10" xfId="1" applyNumberFormat="1" applyFont="1" applyFill="1" applyBorder="1" applyAlignment="1">
      <alignment horizontal="left" vertical="center" wrapText="1" indent="1"/>
    </xf>
    <xf numFmtId="0" fontId="4" fillId="0" borderId="32" xfId="1" applyNumberFormat="1" applyFont="1" applyFill="1" applyBorder="1" applyAlignment="1">
      <alignment horizontal="left" vertical="center" wrapText="1" indent="1"/>
    </xf>
    <xf numFmtId="0" fontId="4" fillId="0" borderId="10" xfId="1" applyNumberFormat="1" applyFont="1" applyFill="1" applyBorder="1" applyAlignment="1">
      <alignment horizontal="left" vertical="center" wrapText="1" indent="1"/>
    </xf>
    <xf numFmtId="0" fontId="4" fillId="0" borderId="30" xfId="1" applyNumberFormat="1" applyFont="1" applyFill="1" applyBorder="1" applyAlignment="1">
      <alignment horizontal="left" wrapText="1" indent="1"/>
    </xf>
    <xf numFmtId="40" fontId="18" fillId="0" borderId="0" xfId="6" applyFont="1" applyFill="1" applyAlignment="1">
      <alignment vertical="top" wrapText="1"/>
    </xf>
    <xf numFmtId="0" fontId="18" fillId="0" borderId="0" xfId="10" applyFont="1" applyAlignment="1">
      <alignment horizontal="right" vertical="top"/>
    </xf>
    <xf numFmtId="165" fontId="3" fillId="3" borderId="14" xfId="5" applyNumberFormat="1" applyFont="1" applyFill="1" applyBorder="1"/>
    <xf numFmtId="165" fontId="4" fillId="3" borderId="14" xfId="5" applyNumberFormat="1" applyFont="1" applyFill="1" applyBorder="1" applyAlignment="1">
      <alignment horizontal="center"/>
    </xf>
    <xf numFmtId="43" fontId="4" fillId="3" borderId="14" xfId="3" applyNumberFormat="1" applyFont="1" applyFill="1" applyBorder="1" applyAlignment="1">
      <alignment horizontal="center"/>
    </xf>
    <xf numFmtId="13" fontId="4" fillId="3" borderId="14" xfId="3" quotePrefix="1" applyNumberFormat="1" applyFont="1" applyFill="1" applyBorder="1" applyAlignment="1">
      <alignment horizontal="center"/>
    </xf>
    <xf numFmtId="164" fontId="3" fillId="3" borderId="26" xfId="1" applyFont="1" applyFill="1" applyBorder="1" applyAlignment="1">
      <alignment horizontal="center"/>
    </xf>
    <xf numFmtId="165" fontId="3" fillId="3" borderId="13" xfId="5" applyNumberFormat="1" applyFont="1" applyFill="1" applyBorder="1"/>
    <xf numFmtId="167" fontId="3" fillId="3" borderId="14" xfId="1" applyNumberFormat="1" applyFont="1" applyFill="1" applyBorder="1"/>
    <xf numFmtId="167" fontId="4" fillId="3" borderId="25" xfId="1" applyNumberFormat="1" applyFont="1" applyFill="1" applyBorder="1" applyAlignment="1">
      <alignment horizontal="right"/>
    </xf>
    <xf numFmtId="167" fontId="4" fillId="3" borderId="22" xfId="1" applyNumberFormat="1" applyFont="1" applyFill="1" applyBorder="1" applyAlignment="1">
      <alignment horizontal="right"/>
    </xf>
    <xf numFmtId="167" fontId="3" fillId="3" borderId="14" xfId="1" applyNumberFormat="1" applyFont="1" applyFill="1" applyBorder="1" applyAlignment="1"/>
    <xf numFmtId="167" fontId="3" fillId="3" borderId="13" xfId="1" applyNumberFormat="1" applyFont="1" applyFill="1" applyBorder="1"/>
    <xf numFmtId="167" fontId="3" fillId="3" borderId="14" xfId="1" applyNumberFormat="1" applyFont="1" applyFill="1" applyBorder="1" applyAlignment="1">
      <alignment horizontal="center"/>
    </xf>
    <xf numFmtId="167" fontId="3" fillId="3" borderId="14" xfId="1" applyNumberFormat="1" applyFont="1" applyFill="1" applyBorder="1" applyAlignment="1">
      <alignment wrapText="1"/>
    </xf>
    <xf numFmtId="167" fontId="3" fillId="3" borderId="14" xfId="1" applyNumberFormat="1" applyFont="1" applyFill="1" applyBorder="1" applyAlignment="1">
      <alignment vertical="center" wrapText="1"/>
    </xf>
    <xf numFmtId="167" fontId="3" fillId="3" borderId="25" xfId="1" applyNumberFormat="1" applyFont="1" applyFill="1" applyBorder="1" applyAlignment="1">
      <alignment horizontal="right"/>
    </xf>
    <xf numFmtId="167" fontId="4" fillId="3" borderId="14" xfId="1" applyNumberFormat="1" applyFont="1" applyFill="1" applyBorder="1"/>
    <xf numFmtId="167" fontId="4" fillId="3" borderId="25" xfId="1" applyNumberFormat="1" applyFont="1" applyFill="1" applyBorder="1" applyAlignment="1">
      <alignment horizontal="center"/>
    </xf>
    <xf numFmtId="165" fontId="3" fillId="3" borderId="12" xfId="5" applyNumberFormat="1" applyFont="1" applyFill="1" applyBorder="1"/>
    <xf numFmtId="165" fontId="3" fillId="3" borderId="15" xfId="5" applyNumberFormat="1" applyFont="1" applyFill="1" applyBorder="1"/>
    <xf numFmtId="165" fontId="3" fillId="3" borderId="0" xfId="5" applyNumberFormat="1" applyFont="1" applyFill="1"/>
    <xf numFmtId="0" fontId="4" fillId="3" borderId="0" xfId="5" applyFont="1" applyFill="1"/>
    <xf numFmtId="165" fontId="4" fillId="3" borderId="0" xfId="5" applyNumberFormat="1" applyFont="1" applyFill="1"/>
    <xf numFmtId="3" fontId="4" fillId="3" borderId="13" xfId="1" applyNumberFormat="1" applyFont="1" applyFill="1" applyBorder="1" applyAlignment="1">
      <alignment horizontal="center"/>
    </xf>
    <xf numFmtId="3" fontId="4" fillId="3" borderId="14" xfId="1" applyNumberFormat="1" applyFont="1" applyFill="1" applyBorder="1" applyAlignment="1">
      <alignment horizontal="center"/>
    </xf>
    <xf numFmtId="3" fontId="4" fillId="3" borderId="14" xfId="1" quotePrefix="1" applyNumberFormat="1" applyFont="1" applyFill="1" applyBorder="1" applyAlignment="1">
      <alignment horizontal="center"/>
    </xf>
    <xf numFmtId="165" fontId="3" fillId="3" borderId="14" xfId="3" applyNumberFormat="1" applyFill="1" applyBorder="1" applyAlignment="1">
      <alignment wrapText="1"/>
    </xf>
    <xf numFmtId="165" fontId="4" fillId="3" borderId="26" xfId="3" applyNumberFormat="1" applyFont="1" applyFill="1" applyBorder="1" applyAlignment="1">
      <alignment wrapText="1"/>
    </xf>
    <xf numFmtId="164" fontId="3" fillId="3" borderId="13" xfId="1" applyFont="1" applyFill="1" applyBorder="1" applyAlignment="1">
      <alignment horizontal="center"/>
    </xf>
    <xf numFmtId="4" fontId="3" fillId="3" borderId="14" xfId="3" applyNumberFormat="1" applyFill="1" applyBorder="1"/>
    <xf numFmtId="167" fontId="4" fillId="3" borderId="14" xfId="1" applyNumberFormat="1" applyFont="1" applyFill="1" applyBorder="1" applyAlignment="1">
      <alignment wrapText="1"/>
    </xf>
    <xf numFmtId="167" fontId="4" fillId="3" borderId="14" xfId="1" applyNumberFormat="1" applyFont="1" applyFill="1" applyBorder="1" applyAlignment="1">
      <alignment horizontal="right"/>
    </xf>
    <xf numFmtId="167" fontId="3" fillId="3" borderId="26" xfId="1" applyNumberFormat="1" applyFont="1" applyFill="1" applyBorder="1" applyAlignment="1"/>
    <xf numFmtId="167" fontId="4" fillId="3" borderId="22" xfId="1" applyNumberFormat="1" applyFont="1" applyFill="1" applyBorder="1" applyAlignment="1"/>
    <xf numFmtId="167" fontId="4" fillId="3" borderId="22" xfId="1" applyNumberFormat="1" applyFont="1" applyFill="1" applyBorder="1" applyAlignment="1">
      <alignment horizontal="center"/>
    </xf>
    <xf numFmtId="164" fontId="3" fillId="3" borderId="14" xfId="1" applyFont="1" applyFill="1" applyBorder="1" applyAlignment="1"/>
    <xf numFmtId="167" fontId="3" fillId="3" borderId="22" xfId="1" applyNumberFormat="1" applyFont="1" applyFill="1" applyBorder="1" applyAlignment="1"/>
    <xf numFmtId="164" fontId="3" fillId="3" borderId="14" xfId="1" applyFont="1" applyFill="1" applyBorder="1" applyAlignment="1" applyProtection="1"/>
    <xf numFmtId="164" fontId="4" fillId="3" borderId="22" xfId="1" applyFont="1" applyFill="1" applyBorder="1" applyAlignment="1"/>
    <xf numFmtId="164" fontId="3" fillId="3" borderId="26" xfId="1" applyFont="1" applyFill="1" applyBorder="1" applyAlignment="1"/>
    <xf numFmtId="167" fontId="4" fillId="3" borderId="22" xfId="1" applyNumberFormat="1" applyFont="1" applyFill="1" applyBorder="1" applyAlignment="1" applyProtection="1"/>
    <xf numFmtId="164" fontId="3" fillId="3" borderId="14" xfId="1" applyFont="1" applyFill="1" applyBorder="1" applyAlignment="1">
      <alignment vertical="center"/>
    </xf>
    <xf numFmtId="164" fontId="4" fillId="3" borderId="22" xfId="1" applyFont="1" applyFill="1" applyBorder="1" applyAlignment="1">
      <alignment vertical="center"/>
    </xf>
    <xf numFmtId="167" fontId="3" fillId="3" borderId="14" xfId="1" applyNumberFormat="1" applyFont="1" applyFill="1" applyBorder="1" applyAlignment="1">
      <alignment vertical="center"/>
    </xf>
    <xf numFmtId="167" fontId="4" fillId="3" borderId="22" xfId="1" applyNumberFormat="1" applyFont="1" applyFill="1" applyBorder="1" applyAlignment="1">
      <alignment vertical="center"/>
    </xf>
    <xf numFmtId="167" fontId="3" fillId="3" borderId="14" xfId="1" applyNumberFormat="1" applyFont="1" applyFill="1" applyBorder="1" applyAlignment="1" applyProtection="1"/>
    <xf numFmtId="167" fontId="3" fillId="3" borderId="25" xfId="1" applyNumberFormat="1" applyFont="1" applyFill="1" applyBorder="1" applyAlignment="1"/>
    <xf numFmtId="167" fontId="4" fillId="3" borderId="14" xfId="1" applyNumberFormat="1" applyFont="1" applyFill="1" applyBorder="1" applyAlignment="1"/>
    <xf numFmtId="167" fontId="4" fillId="3" borderId="23" xfId="1" applyNumberFormat="1" applyFont="1" applyFill="1" applyBorder="1" applyAlignment="1"/>
    <xf numFmtId="167" fontId="4" fillId="3" borderId="26" xfId="1" applyNumberFormat="1" applyFont="1" applyFill="1" applyBorder="1" applyAlignment="1"/>
    <xf numFmtId="167" fontId="4" fillId="3" borderId="29" xfId="1" applyNumberFormat="1" applyFont="1" applyFill="1" applyBorder="1" applyAlignment="1"/>
    <xf numFmtId="167" fontId="3" fillId="3" borderId="23" xfId="1" applyNumberFormat="1" applyFont="1" applyFill="1" applyBorder="1" applyAlignment="1"/>
    <xf numFmtId="167" fontId="3" fillId="3" borderId="26" xfId="1" applyNumberFormat="1" applyFont="1" applyFill="1" applyBorder="1" applyAlignment="1">
      <alignment wrapText="1"/>
    </xf>
    <xf numFmtId="167" fontId="15" fillId="3" borderId="14" xfId="1" applyNumberFormat="1" applyFont="1" applyFill="1" applyBorder="1" applyAlignment="1"/>
    <xf numFmtId="167" fontId="4" fillId="3" borderId="14" xfId="1" quotePrefix="1" applyNumberFormat="1" applyFont="1" applyFill="1" applyBorder="1" applyAlignment="1">
      <alignment wrapText="1"/>
    </xf>
    <xf numFmtId="167" fontId="4" fillId="3" borderId="26" xfId="1" applyNumberFormat="1" applyFont="1" applyFill="1" applyBorder="1" applyAlignment="1">
      <alignment wrapText="1"/>
    </xf>
    <xf numFmtId="167" fontId="3" fillId="3" borderId="24" xfId="1" applyNumberFormat="1" applyFont="1" applyFill="1" applyBorder="1" applyAlignment="1">
      <alignment wrapText="1"/>
    </xf>
    <xf numFmtId="167" fontId="3" fillId="3" borderId="14" xfId="1" quotePrefix="1" applyNumberFormat="1" applyFont="1" applyFill="1" applyBorder="1" applyAlignment="1">
      <alignment vertical="justify" wrapText="1"/>
    </xf>
    <xf numFmtId="167" fontId="4" fillId="3" borderId="14" xfId="1" applyNumberFormat="1" applyFont="1" applyFill="1" applyBorder="1" applyAlignment="1">
      <alignment vertical="center" wrapText="1"/>
    </xf>
    <xf numFmtId="164" fontId="3" fillId="3" borderId="0" xfId="1" applyFont="1" applyFill="1" applyBorder="1" applyAlignment="1"/>
    <xf numFmtId="3" fontId="3" fillId="3" borderId="0" xfId="1" applyNumberFormat="1" applyFont="1" applyFill="1" applyBorder="1" applyAlignment="1"/>
    <xf numFmtId="0" fontId="18" fillId="0" borderId="0" xfId="10" applyFont="1" applyAlignment="1">
      <alignment horizontal="left" wrapText="1"/>
    </xf>
    <xf numFmtId="0" fontId="14" fillId="0" borderId="0" xfId="10" applyFont="1" applyAlignment="1">
      <alignment horizontal="center"/>
    </xf>
    <xf numFmtId="40" fontId="14" fillId="0" borderId="0" xfId="6" applyFont="1" applyFill="1" applyAlignment="1">
      <alignment horizontal="left" wrapText="1"/>
    </xf>
    <xf numFmtId="0" fontId="14" fillId="0" borderId="0" xfId="10" applyFont="1" applyAlignment="1">
      <alignment horizontal="left" wrapText="1"/>
    </xf>
    <xf numFmtId="165" fontId="4" fillId="0" borderId="1" xfId="5" applyNumberFormat="1" applyFont="1" applyBorder="1" applyAlignment="1">
      <alignment horizontal="center"/>
    </xf>
    <xf numFmtId="165" fontId="4" fillId="0" borderId="2" xfId="5" applyNumberFormat="1" applyFont="1" applyBorder="1" applyAlignment="1">
      <alignment horizontal="center"/>
    </xf>
    <xf numFmtId="165" fontId="4" fillId="0" borderId="18" xfId="5" applyNumberFormat="1" applyFont="1" applyBorder="1" applyAlignment="1">
      <alignment horizontal="center"/>
    </xf>
    <xf numFmtId="165" fontId="4" fillId="0" borderId="3" xfId="5" applyNumberFormat="1" applyFont="1" applyBorder="1" applyAlignment="1">
      <alignment horizontal="center"/>
    </xf>
    <xf numFmtId="165" fontId="4" fillId="0" borderId="4" xfId="5" applyNumberFormat="1" applyFont="1" applyBorder="1" applyAlignment="1">
      <alignment horizontal="center"/>
    </xf>
    <xf numFmtId="165" fontId="4" fillId="0" borderId="19" xfId="5" applyNumberFormat="1" applyFont="1" applyBorder="1" applyAlignment="1">
      <alignment horizontal="center"/>
    </xf>
    <xf numFmtId="165" fontId="4" fillId="0" borderId="5" xfId="5" applyNumberFormat="1" applyFont="1" applyBorder="1" applyAlignment="1">
      <alignment horizontal="center"/>
    </xf>
    <xf numFmtId="165" fontId="4" fillId="0" borderId="6" xfId="5" applyNumberFormat="1" applyFont="1" applyBorder="1" applyAlignment="1">
      <alignment horizontal="center"/>
    </xf>
    <xf numFmtId="165" fontId="4" fillId="0" borderId="16" xfId="5" applyNumberFormat="1" applyFont="1" applyBorder="1" applyAlignment="1">
      <alignment horizontal="center"/>
    </xf>
    <xf numFmtId="165" fontId="4" fillId="0" borderId="10" xfId="5" applyNumberFormat="1" applyFont="1" applyBorder="1" applyAlignment="1">
      <alignment horizontal="center"/>
    </xf>
    <xf numFmtId="165" fontId="4" fillId="0" borderId="11" xfId="5" applyNumberFormat="1" applyFont="1" applyBorder="1" applyAlignment="1">
      <alignment horizontal="center"/>
    </xf>
    <xf numFmtId="165" fontId="4" fillId="0" borderId="15" xfId="5" applyNumberFormat="1" applyFont="1" applyBorder="1" applyAlignment="1">
      <alignment horizontal="center"/>
    </xf>
    <xf numFmtId="165" fontId="4" fillId="0" borderId="9" xfId="5" applyNumberFormat="1" applyFont="1" applyBorder="1" applyAlignment="1">
      <alignment horizontal="center"/>
    </xf>
    <xf numFmtId="165" fontId="4" fillId="0" borderId="0" xfId="5" applyNumberFormat="1" applyFont="1" applyAlignment="1">
      <alignment horizontal="center"/>
    </xf>
    <xf numFmtId="165" fontId="4" fillId="0" borderId="12" xfId="5" applyNumberFormat="1" applyFont="1" applyBorder="1" applyAlignment="1">
      <alignment horizontal="center"/>
    </xf>
    <xf numFmtId="0" fontId="4" fillId="0" borderId="27" xfId="2" applyFont="1" applyBorder="1" applyAlignment="1">
      <alignment horizontal="center"/>
    </xf>
    <xf numFmtId="0" fontId="4" fillId="0" borderId="17" xfId="2" applyFont="1" applyBorder="1" applyAlignment="1">
      <alignment horizontal="center"/>
    </xf>
    <xf numFmtId="165" fontId="4" fillId="0" borderId="3" xfId="3" applyNumberFormat="1" applyFont="1" applyBorder="1" applyAlignment="1">
      <alignment horizontal="center"/>
    </xf>
    <xf numFmtId="165" fontId="4" fillId="0" borderId="4" xfId="3" applyNumberFormat="1" applyFont="1" applyBorder="1" applyAlignment="1">
      <alignment horizontal="center"/>
    </xf>
    <xf numFmtId="165" fontId="4" fillId="0" borderId="5" xfId="3" applyNumberFormat="1" applyFont="1" applyBorder="1" applyAlignment="1">
      <alignment horizontal="center"/>
    </xf>
    <xf numFmtId="165" fontId="4" fillId="0" borderId="6" xfId="3" applyNumberFormat="1" applyFont="1" applyBorder="1" applyAlignment="1">
      <alignment horizontal="center"/>
    </xf>
    <xf numFmtId="165" fontId="4" fillId="0" borderId="8" xfId="3" applyNumberFormat="1" applyFont="1" applyBorder="1" applyAlignment="1">
      <alignment horizontal="center"/>
    </xf>
    <xf numFmtId="38" fontId="4" fillId="0" borderId="5" xfId="6" applyNumberFormat="1" applyFont="1" applyFill="1" applyBorder="1" applyAlignment="1">
      <alignment horizontal="center" vertical="top"/>
    </xf>
    <xf numFmtId="38" fontId="4" fillId="0" borderId="6" xfId="6" applyNumberFormat="1" applyFont="1" applyFill="1" applyBorder="1" applyAlignment="1">
      <alignment horizontal="center" vertical="top"/>
    </xf>
    <xf numFmtId="38" fontId="4" fillId="0" borderId="16" xfId="6" applyNumberFormat="1" applyFont="1" applyFill="1" applyBorder="1" applyAlignment="1">
      <alignment horizontal="center" vertical="top"/>
    </xf>
    <xf numFmtId="38" fontId="4" fillId="0" borderId="2" xfId="6" applyNumberFormat="1" applyFont="1" applyBorder="1" applyAlignment="1">
      <alignment horizontal="center" vertical="top"/>
    </xf>
    <xf numFmtId="38" fontId="4" fillId="0" borderId="2" xfId="6" quotePrefix="1" applyNumberFormat="1" applyFont="1" applyBorder="1" applyAlignment="1">
      <alignment horizontal="center" vertical="top"/>
    </xf>
    <xf numFmtId="38" fontId="4" fillId="0" borderId="4" xfId="6" applyNumberFormat="1" applyFont="1" applyBorder="1" applyAlignment="1">
      <alignment horizontal="center" vertical="top"/>
    </xf>
    <xf numFmtId="38" fontId="4" fillId="0" borderId="11" xfId="6" quotePrefix="1" applyNumberFormat="1" applyFont="1" applyBorder="1" applyAlignment="1">
      <alignment horizontal="center" vertical="top"/>
    </xf>
    <xf numFmtId="38" fontId="4" fillId="0" borderId="6" xfId="6" applyNumberFormat="1" applyFont="1" applyBorder="1" applyAlignment="1">
      <alignment horizontal="center" vertical="top"/>
    </xf>
    <xf numFmtId="0" fontId="4" fillId="0" borderId="1" xfId="7" applyFont="1" applyBorder="1" applyAlignment="1">
      <alignment horizontal="center"/>
    </xf>
    <xf numFmtId="0" fontId="4" fillId="0" borderId="2" xfId="7" quotePrefix="1" applyFont="1" applyBorder="1" applyAlignment="1">
      <alignment horizontal="center"/>
    </xf>
    <xf numFmtId="0" fontId="4" fillId="0" borderId="18" xfId="7" quotePrefix="1" applyFont="1" applyBorder="1" applyAlignment="1">
      <alignment horizontal="center"/>
    </xf>
    <xf numFmtId="0" fontId="4" fillId="0" borderId="10" xfId="7" applyFont="1" applyBorder="1" applyAlignment="1">
      <alignment horizontal="center"/>
    </xf>
    <xf numFmtId="0" fontId="4" fillId="0" borderId="11" xfId="7" applyFont="1" applyBorder="1" applyAlignment="1">
      <alignment horizontal="center"/>
    </xf>
    <xf numFmtId="0" fontId="4" fillId="0" borderId="15" xfId="7" applyFont="1" applyBorder="1" applyAlignment="1">
      <alignment horizontal="center"/>
    </xf>
    <xf numFmtId="0" fontId="9" fillId="0" borderId="5" xfId="7" quotePrefix="1" applyFont="1" applyBorder="1" applyAlignment="1">
      <alignment horizontal="center"/>
    </xf>
    <xf numFmtId="0" fontId="9" fillId="0" borderId="6" xfId="7" quotePrefix="1" applyFont="1" applyBorder="1" applyAlignment="1">
      <alignment horizontal="center"/>
    </xf>
    <xf numFmtId="0" fontId="9" fillId="0" borderId="16" xfId="7" quotePrefix="1" applyFont="1" applyBorder="1" applyAlignment="1">
      <alignment horizontal="center"/>
    </xf>
    <xf numFmtId="40" fontId="4" fillId="0" borderId="1" xfId="6" applyFont="1" applyBorder="1" applyAlignment="1">
      <alignment horizontal="center" vertical="top" wrapText="1"/>
    </xf>
    <xf numFmtId="40" fontId="4" fillId="0" borderId="2" xfId="6" applyFont="1" applyBorder="1" applyAlignment="1">
      <alignment horizontal="center" vertical="top" wrapText="1"/>
    </xf>
    <xf numFmtId="40" fontId="4" fillId="0" borderId="18" xfId="6" applyFont="1" applyBorder="1" applyAlignment="1">
      <alignment horizontal="center" vertical="top" wrapText="1"/>
    </xf>
    <xf numFmtId="40" fontId="4" fillId="0" borderId="33" xfId="6" applyFont="1" applyBorder="1" applyAlignment="1">
      <alignment horizontal="center" vertical="top" wrapText="1"/>
    </xf>
    <xf numFmtId="40" fontId="4" fillId="0" borderId="34" xfId="6" applyFont="1" applyBorder="1" applyAlignment="1">
      <alignment horizontal="center" vertical="top" wrapText="1"/>
    </xf>
    <xf numFmtId="40" fontId="4" fillId="0" borderId="35" xfId="6" applyFont="1" applyBorder="1" applyAlignment="1">
      <alignment horizontal="center" vertical="top" wrapText="1"/>
    </xf>
    <xf numFmtId="40" fontId="4" fillId="0" borderId="9" xfId="6" applyFont="1" applyBorder="1" applyAlignment="1">
      <alignment horizontal="center" vertical="top" wrapText="1"/>
    </xf>
    <xf numFmtId="40" fontId="4" fillId="0" borderId="0" xfId="6" applyFont="1" applyBorder="1" applyAlignment="1">
      <alignment horizontal="center" vertical="top" wrapText="1"/>
    </xf>
    <xf numFmtId="40" fontId="4" fillId="0" borderId="12" xfId="6" applyFont="1" applyBorder="1" applyAlignment="1">
      <alignment horizontal="center" vertical="top" wrapText="1"/>
    </xf>
    <xf numFmtId="44" fontId="8" fillId="0" borderId="0" xfId="12" applyFont="1"/>
  </cellXfs>
  <cellStyles count="13">
    <cellStyle name="Comma" xfId="1" builtinId="3"/>
    <cellStyle name="Comma 3" xfId="6" xr:uid="{00000000-0005-0000-0000-000001000000}"/>
    <cellStyle name="Comma_Revest2006" xfId="4" xr:uid="{00000000-0005-0000-0000-000002000000}"/>
    <cellStyle name="Currency" xfId="12" builtinId="4"/>
    <cellStyle name="Normal" xfId="0" builtinId="0"/>
    <cellStyle name="Normal 2" xfId="11" xr:uid="{00000000-0005-0000-0000-000004000000}"/>
    <cellStyle name="Normal 8" xfId="8" xr:uid="{00000000-0005-0000-0000-000005000000}"/>
    <cellStyle name="Normal_Financial Statements 2007-08" xfId="10" xr:uid="{00000000-0005-0000-0000-000006000000}"/>
    <cellStyle name="Normal_Revest2006" xfId="3" xr:uid="{00000000-0005-0000-0000-000007000000}"/>
    <cellStyle name="Normal_REVSUM2006" xfId="5" xr:uid="{00000000-0005-0000-0000-000008000000}"/>
    <cellStyle name="Normal_s4_2000" xfId="2" xr:uid="{00000000-0005-0000-0000-000009000000}"/>
    <cellStyle name="Normal_ST IX  X 2006" xfId="7" xr:uid="{00000000-0005-0000-0000-00000A000000}"/>
    <cellStyle name="Percent" xfId="9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SOLIDATEDFUND%20FILES/MISC%20REV%20MONTHLY/20182019/Statement%2015%20April%20to%20March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new"/>
      <sheetName val="Sheet2"/>
      <sheetName val="Sheet3"/>
    </sheetNames>
    <sheetDataSet>
      <sheetData sheetId="0"/>
      <sheetData sheetId="1">
        <row r="132">
          <cell r="U132" t="str">
            <v xml:space="preserve"> </v>
          </cell>
        </row>
        <row r="361">
          <cell r="U361" t="str">
            <v xml:space="preserve"> </v>
          </cell>
        </row>
        <row r="381">
          <cell r="U381" t="str">
            <v xml:space="preserve"> </v>
          </cell>
        </row>
        <row r="411">
          <cell r="U411" t="str">
            <v xml:space="preserve"> </v>
          </cell>
        </row>
        <row r="412">
          <cell r="U412" t="str">
            <v xml:space="preserve"> </v>
          </cell>
        </row>
      </sheetData>
      <sheetData sheetId="2"/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3"/>
  <sheetViews>
    <sheetView topLeftCell="A9" workbookViewId="0">
      <selection activeCell="C24" sqref="C24"/>
    </sheetView>
  </sheetViews>
  <sheetFormatPr defaultColWidth="9.140625" defaultRowHeight="15"/>
  <cols>
    <col min="1" max="1" width="4.85546875" style="439" customWidth="1"/>
    <col min="2" max="2" width="16.42578125" style="440" customWidth="1"/>
    <col min="3" max="3" width="63" style="438" customWidth="1"/>
    <col min="4" max="4" width="7.42578125" style="438" customWidth="1"/>
    <col min="5" max="5" width="9.140625" style="438"/>
    <col min="6" max="6" width="13.5703125" style="438" bestFit="1" customWidth="1"/>
    <col min="7" max="256" width="9.140625" style="438"/>
    <col min="257" max="257" width="4.85546875" style="438" customWidth="1"/>
    <col min="258" max="258" width="16.42578125" style="438" customWidth="1"/>
    <col min="259" max="259" width="63" style="438" customWidth="1"/>
    <col min="260" max="260" width="7.42578125" style="438" customWidth="1"/>
    <col min="261" max="261" width="9.140625" style="438"/>
    <col min="262" max="262" width="13.5703125" style="438" bestFit="1" customWidth="1"/>
    <col min="263" max="512" width="9.140625" style="438"/>
    <col min="513" max="513" width="4.85546875" style="438" customWidth="1"/>
    <col min="514" max="514" width="16.42578125" style="438" customWidth="1"/>
    <col min="515" max="515" width="63" style="438" customWidth="1"/>
    <col min="516" max="516" width="7.42578125" style="438" customWidth="1"/>
    <col min="517" max="517" width="9.140625" style="438"/>
    <col min="518" max="518" width="13.5703125" style="438" bestFit="1" customWidth="1"/>
    <col min="519" max="768" width="9.140625" style="438"/>
    <col min="769" max="769" width="4.85546875" style="438" customWidth="1"/>
    <col min="770" max="770" width="16.42578125" style="438" customWidth="1"/>
    <col min="771" max="771" width="63" style="438" customWidth="1"/>
    <col min="772" max="772" width="7.42578125" style="438" customWidth="1"/>
    <col min="773" max="773" width="9.140625" style="438"/>
    <col min="774" max="774" width="13.5703125" style="438" bestFit="1" customWidth="1"/>
    <col min="775" max="1024" width="9.140625" style="438"/>
    <col min="1025" max="1025" width="4.85546875" style="438" customWidth="1"/>
    <col min="1026" max="1026" width="16.42578125" style="438" customWidth="1"/>
    <col min="1027" max="1027" width="63" style="438" customWidth="1"/>
    <col min="1028" max="1028" width="7.42578125" style="438" customWidth="1"/>
    <col min="1029" max="1029" width="9.140625" style="438"/>
    <col min="1030" max="1030" width="13.5703125" style="438" bestFit="1" customWidth="1"/>
    <col min="1031" max="1280" width="9.140625" style="438"/>
    <col min="1281" max="1281" width="4.85546875" style="438" customWidth="1"/>
    <col min="1282" max="1282" width="16.42578125" style="438" customWidth="1"/>
    <col min="1283" max="1283" width="63" style="438" customWidth="1"/>
    <col min="1284" max="1284" width="7.42578125" style="438" customWidth="1"/>
    <col min="1285" max="1285" width="9.140625" style="438"/>
    <col min="1286" max="1286" width="13.5703125" style="438" bestFit="1" customWidth="1"/>
    <col min="1287" max="1536" width="9.140625" style="438"/>
    <col min="1537" max="1537" width="4.85546875" style="438" customWidth="1"/>
    <col min="1538" max="1538" width="16.42578125" style="438" customWidth="1"/>
    <col min="1539" max="1539" width="63" style="438" customWidth="1"/>
    <col min="1540" max="1540" width="7.42578125" style="438" customWidth="1"/>
    <col min="1541" max="1541" width="9.140625" style="438"/>
    <col min="1542" max="1542" width="13.5703125" style="438" bestFit="1" customWidth="1"/>
    <col min="1543" max="1792" width="9.140625" style="438"/>
    <col min="1793" max="1793" width="4.85546875" style="438" customWidth="1"/>
    <col min="1794" max="1794" width="16.42578125" style="438" customWidth="1"/>
    <col min="1795" max="1795" width="63" style="438" customWidth="1"/>
    <col min="1796" max="1796" width="7.42578125" style="438" customWidth="1"/>
    <col min="1797" max="1797" width="9.140625" style="438"/>
    <col min="1798" max="1798" width="13.5703125" style="438" bestFit="1" customWidth="1"/>
    <col min="1799" max="2048" width="9.140625" style="438"/>
    <col min="2049" max="2049" width="4.85546875" style="438" customWidth="1"/>
    <col min="2050" max="2050" width="16.42578125" style="438" customWidth="1"/>
    <col min="2051" max="2051" width="63" style="438" customWidth="1"/>
    <col min="2052" max="2052" width="7.42578125" style="438" customWidth="1"/>
    <col min="2053" max="2053" width="9.140625" style="438"/>
    <col min="2054" max="2054" width="13.5703125" style="438" bestFit="1" customWidth="1"/>
    <col min="2055" max="2304" width="9.140625" style="438"/>
    <col min="2305" max="2305" width="4.85546875" style="438" customWidth="1"/>
    <col min="2306" max="2306" width="16.42578125" style="438" customWidth="1"/>
    <col min="2307" max="2307" width="63" style="438" customWidth="1"/>
    <col min="2308" max="2308" width="7.42578125" style="438" customWidth="1"/>
    <col min="2309" max="2309" width="9.140625" style="438"/>
    <col min="2310" max="2310" width="13.5703125" style="438" bestFit="1" customWidth="1"/>
    <col min="2311" max="2560" width="9.140625" style="438"/>
    <col min="2561" max="2561" width="4.85546875" style="438" customWidth="1"/>
    <col min="2562" max="2562" width="16.42578125" style="438" customWidth="1"/>
    <col min="2563" max="2563" width="63" style="438" customWidth="1"/>
    <col min="2564" max="2564" width="7.42578125" style="438" customWidth="1"/>
    <col min="2565" max="2565" width="9.140625" style="438"/>
    <col min="2566" max="2566" width="13.5703125" style="438" bestFit="1" customWidth="1"/>
    <col min="2567" max="2816" width="9.140625" style="438"/>
    <col min="2817" max="2817" width="4.85546875" style="438" customWidth="1"/>
    <col min="2818" max="2818" width="16.42578125" style="438" customWidth="1"/>
    <col min="2819" max="2819" width="63" style="438" customWidth="1"/>
    <col min="2820" max="2820" width="7.42578125" style="438" customWidth="1"/>
    <col min="2821" max="2821" width="9.140625" style="438"/>
    <col min="2822" max="2822" width="13.5703125" style="438" bestFit="1" customWidth="1"/>
    <col min="2823" max="3072" width="9.140625" style="438"/>
    <col min="3073" max="3073" width="4.85546875" style="438" customWidth="1"/>
    <col min="3074" max="3074" width="16.42578125" style="438" customWidth="1"/>
    <col min="3075" max="3075" width="63" style="438" customWidth="1"/>
    <col min="3076" max="3076" width="7.42578125" style="438" customWidth="1"/>
    <col min="3077" max="3077" width="9.140625" style="438"/>
    <col min="3078" max="3078" width="13.5703125" style="438" bestFit="1" customWidth="1"/>
    <col min="3079" max="3328" width="9.140625" style="438"/>
    <col min="3329" max="3329" width="4.85546875" style="438" customWidth="1"/>
    <col min="3330" max="3330" width="16.42578125" style="438" customWidth="1"/>
    <col min="3331" max="3331" width="63" style="438" customWidth="1"/>
    <col min="3332" max="3332" width="7.42578125" style="438" customWidth="1"/>
    <col min="3333" max="3333" width="9.140625" style="438"/>
    <col min="3334" max="3334" width="13.5703125" style="438" bestFit="1" customWidth="1"/>
    <col min="3335" max="3584" width="9.140625" style="438"/>
    <col min="3585" max="3585" width="4.85546875" style="438" customWidth="1"/>
    <col min="3586" max="3586" width="16.42578125" style="438" customWidth="1"/>
    <col min="3587" max="3587" width="63" style="438" customWidth="1"/>
    <col min="3588" max="3588" width="7.42578125" style="438" customWidth="1"/>
    <col min="3589" max="3589" width="9.140625" style="438"/>
    <col min="3590" max="3590" width="13.5703125" style="438" bestFit="1" customWidth="1"/>
    <col min="3591" max="3840" width="9.140625" style="438"/>
    <col min="3841" max="3841" width="4.85546875" style="438" customWidth="1"/>
    <col min="3842" max="3842" width="16.42578125" style="438" customWidth="1"/>
    <col min="3843" max="3843" width="63" style="438" customWidth="1"/>
    <col min="3844" max="3844" width="7.42578125" style="438" customWidth="1"/>
    <col min="3845" max="3845" width="9.140625" style="438"/>
    <col min="3846" max="3846" width="13.5703125" style="438" bestFit="1" customWidth="1"/>
    <col min="3847" max="4096" width="9.140625" style="438"/>
    <col min="4097" max="4097" width="4.85546875" style="438" customWidth="1"/>
    <col min="4098" max="4098" width="16.42578125" style="438" customWidth="1"/>
    <col min="4099" max="4099" width="63" style="438" customWidth="1"/>
    <col min="4100" max="4100" width="7.42578125" style="438" customWidth="1"/>
    <col min="4101" max="4101" width="9.140625" style="438"/>
    <col min="4102" max="4102" width="13.5703125" style="438" bestFit="1" customWidth="1"/>
    <col min="4103" max="4352" width="9.140625" style="438"/>
    <col min="4353" max="4353" width="4.85546875" style="438" customWidth="1"/>
    <col min="4354" max="4354" width="16.42578125" style="438" customWidth="1"/>
    <col min="4355" max="4355" width="63" style="438" customWidth="1"/>
    <col min="4356" max="4356" width="7.42578125" style="438" customWidth="1"/>
    <col min="4357" max="4357" width="9.140625" style="438"/>
    <col min="4358" max="4358" width="13.5703125" style="438" bestFit="1" customWidth="1"/>
    <col min="4359" max="4608" width="9.140625" style="438"/>
    <col min="4609" max="4609" width="4.85546875" style="438" customWidth="1"/>
    <col min="4610" max="4610" width="16.42578125" style="438" customWidth="1"/>
    <col min="4611" max="4611" width="63" style="438" customWidth="1"/>
    <col min="4612" max="4612" width="7.42578125" style="438" customWidth="1"/>
    <col min="4613" max="4613" width="9.140625" style="438"/>
    <col min="4614" max="4614" width="13.5703125" style="438" bestFit="1" customWidth="1"/>
    <col min="4615" max="4864" width="9.140625" style="438"/>
    <col min="4865" max="4865" width="4.85546875" style="438" customWidth="1"/>
    <col min="4866" max="4866" width="16.42578125" style="438" customWidth="1"/>
    <col min="4867" max="4867" width="63" style="438" customWidth="1"/>
    <col min="4868" max="4868" width="7.42578125" style="438" customWidth="1"/>
    <col min="4869" max="4869" width="9.140625" style="438"/>
    <col min="4870" max="4870" width="13.5703125" style="438" bestFit="1" customWidth="1"/>
    <col min="4871" max="5120" width="9.140625" style="438"/>
    <col min="5121" max="5121" width="4.85546875" style="438" customWidth="1"/>
    <col min="5122" max="5122" width="16.42578125" style="438" customWidth="1"/>
    <col min="5123" max="5123" width="63" style="438" customWidth="1"/>
    <col min="5124" max="5124" width="7.42578125" style="438" customWidth="1"/>
    <col min="5125" max="5125" width="9.140625" style="438"/>
    <col min="5126" max="5126" width="13.5703125" style="438" bestFit="1" customWidth="1"/>
    <col min="5127" max="5376" width="9.140625" style="438"/>
    <col min="5377" max="5377" width="4.85546875" style="438" customWidth="1"/>
    <col min="5378" max="5378" width="16.42578125" style="438" customWidth="1"/>
    <col min="5379" max="5379" width="63" style="438" customWidth="1"/>
    <col min="5380" max="5380" width="7.42578125" style="438" customWidth="1"/>
    <col min="5381" max="5381" width="9.140625" style="438"/>
    <col min="5382" max="5382" width="13.5703125" style="438" bestFit="1" customWidth="1"/>
    <col min="5383" max="5632" width="9.140625" style="438"/>
    <col min="5633" max="5633" width="4.85546875" style="438" customWidth="1"/>
    <col min="5634" max="5634" width="16.42578125" style="438" customWidth="1"/>
    <col min="5635" max="5635" width="63" style="438" customWidth="1"/>
    <col min="5636" max="5636" width="7.42578125" style="438" customWidth="1"/>
    <col min="5637" max="5637" width="9.140625" style="438"/>
    <col min="5638" max="5638" width="13.5703125" style="438" bestFit="1" customWidth="1"/>
    <col min="5639" max="5888" width="9.140625" style="438"/>
    <col min="5889" max="5889" width="4.85546875" style="438" customWidth="1"/>
    <col min="5890" max="5890" width="16.42578125" style="438" customWidth="1"/>
    <col min="5891" max="5891" width="63" style="438" customWidth="1"/>
    <col min="5892" max="5892" width="7.42578125" style="438" customWidth="1"/>
    <col min="5893" max="5893" width="9.140625" style="438"/>
    <col min="5894" max="5894" width="13.5703125" style="438" bestFit="1" customWidth="1"/>
    <col min="5895" max="6144" width="9.140625" style="438"/>
    <col min="6145" max="6145" width="4.85546875" style="438" customWidth="1"/>
    <col min="6146" max="6146" width="16.42578125" style="438" customWidth="1"/>
    <col min="6147" max="6147" width="63" style="438" customWidth="1"/>
    <col min="6148" max="6148" width="7.42578125" style="438" customWidth="1"/>
    <col min="6149" max="6149" width="9.140625" style="438"/>
    <col min="6150" max="6150" width="13.5703125" style="438" bestFit="1" customWidth="1"/>
    <col min="6151" max="6400" width="9.140625" style="438"/>
    <col min="6401" max="6401" width="4.85546875" style="438" customWidth="1"/>
    <col min="6402" max="6402" width="16.42578125" style="438" customWidth="1"/>
    <col min="6403" max="6403" width="63" style="438" customWidth="1"/>
    <col min="6404" max="6404" width="7.42578125" style="438" customWidth="1"/>
    <col min="6405" max="6405" width="9.140625" style="438"/>
    <col min="6406" max="6406" width="13.5703125" style="438" bestFit="1" customWidth="1"/>
    <col min="6407" max="6656" width="9.140625" style="438"/>
    <col min="6657" max="6657" width="4.85546875" style="438" customWidth="1"/>
    <col min="6658" max="6658" width="16.42578125" style="438" customWidth="1"/>
    <col min="6659" max="6659" width="63" style="438" customWidth="1"/>
    <col min="6660" max="6660" width="7.42578125" style="438" customWidth="1"/>
    <col min="6661" max="6661" width="9.140625" style="438"/>
    <col min="6662" max="6662" width="13.5703125" style="438" bestFit="1" customWidth="1"/>
    <col min="6663" max="6912" width="9.140625" style="438"/>
    <col min="6913" max="6913" width="4.85546875" style="438" customWidth="1"/>
    <col min="6914" max="6914" width="16.42578125" style="438" customWidth="1"/>
    <col min="6915" max="6915" width="63" style="438" customWidth="1"/>
    <col min="6916" max="6916" width="7.42578125" style="438" customWidth="1"/>
    <col min="6917" max="6917" width="9.140625" style="438"/>
    <col min="6918" max="6918" width="13.5703125" style="438" bestFit="1" customWidth="1"/>
    <col min="6919" max="7168" width="9.140625" style="438"/>
    <col min="7169" max="7169" width="4.85546875" style="438" customWidth="1"/>
    <col min="7170" max="7170" width="16.42578125" style="438" customWidth="1"/>
    <col min="7171" max="7171" width="63" style="438" customWidth="1"/>
    <col min="7172" max="7172" width="7.42578125" style="438" customWidth="1"/>
    <col min="7173" max="7173" width="9.140625" style="438"/>
    <col min="7174" max="7174" width="13.5703125" style="438" bestFit="1" customWidth="1"/>
    <col min="7175" max="7424" width="9.140625" style="438"/>
    <col min="7425" max="7425" width="4.85546875" style="438" customWidth="1"/>
    <col min="7426" max="7426" width="16.42578125" style="438" customWidth="1"/>
    <col min="7427" max="7427" width="63" style="438" customWidth="1"/>
    <col min="7428" max="7428" width="7.42578125" style="438" customWidth="1"/>
    <col min="7429" max="7429" width="9.140625" style="438"/>
    <col min="7430" max="7430" width="13.5703125" style="438" bestFit="1" customWidth="1"/>
    <col min="7431" max="7680" width="9.140625" style="438"/>
    <col min="7681" max="7681" width="4.85546875" style="438" customWidth="1"/>
    <col min="7682" max="7682" width="16.42578125" style="438" customWidth="1"/>
    <col min="7683" max="7683" width="63" style="438" customWidth="1"/>
    <col min="7684" max="7684" width="7.42578125" style="438" customWidth="1"/>
    <col min="7685" max="7685" width="9.140625" style="438"/>
    <col min="7686" max="7686" width="13.5703125" style="438" bestFit="1" customWidth="1"/>
    <col min="7687" max="7936" width="9.140625" style="438"/>
    <col min="7937" max="7937" width="4.85546875" style="438" customWidth="1"/>
    <col min="7938" max="7938" width="16.42578125" style="438" customWidth="1"/>
    <col min="7939" max="7939" width="63" style="438" customWidth="1"/>
    <col min="7940" max="7940" width="7.42578125" style="438" customWidth="1"/>
    <col min="7941" max="7941" width="9.140625" style="438"/>
    <col min="7942" max="7942" width="13.5703125" style="438" bestFit="1" customWidth="1"/>
    <col min="7943" max="8192" width="9.140625" style="438"/>
    <col min="8193" max="8193" width="4.85546875" style="438" customWidth="1"/>
    <col min="8194" max="8194" width="16.42578125" style="438" customWidth="1"/>
    <col min="8195" max="8195" width="63" style="438" customWidth="1"/>
    <col min="8196" max="8196" width="7.42578125" style="438" customWidth="1"/>
    <col min="8197" max="8197" width="9.140625" style="438"/>
    <col min="8198" max="8198" width="13.5703125" style="438" bestFit="1" customWidth="1"/>
    <col min="8199" max="8448" width="9.140625" style="438"/>
    <col min="8449" max="8449" width="4.85546875" style="438" customWidth="1"/>
    <col min="8450" max="8450" width="16.42578125" style="438" customWidth="1"/>
    <col min="8451" max="8451" width="63" style="438" customWidth="1"/>
    <col min="8452" max="8452" width="7.42578125" style="438" customWidth="1"/>
    <col min="8453" max="8453" width="9.140625" style="438"/>
    <col min="8454" max="8454" width="13.5703125" style="438" bestFit="1" customWidth="1"/>
    <col min="8455" max="8704" width="9.140625" style="438"/>
    <col min="8705" max="8705" width="4.85546875" style="438" customWidth="1"/>
    <col min="8706" max="8706" width="16.42578125" style="438" customWidth="1"/>
    <col min="8707" max="8707" width="63" style="438" customWidth="1"/>
    <col min="8708" max="8708" width="7.42578125" style="438" customWidth="1"/>
    <col min="8709" max="8709" width="9.140625" style="438"/>
    <col min="8710" max="8710" width="13.5703125" style="438" bestFit="1" customWidth="1"/>
    <col min="8711" max="8960" width="9.140625" style="438"/>
    <col min="8961" max="8961" width="4.85546875" style="438" customWidth="1"/>
    <col min="8962" max="8962" width="16.42578125" style="438" customWidth="1"/>
    <col min="8963" max="8963" width="63" style="438" customWidth="1"/>
    <col min="8964" max="8964" width="7.42578125" style="438" customWidth="1"/>
    <col min="8965" max="8965" width="9.140625" style="438"/>
    <col min="8966" max="8966" width="13.5703125" style="438" bestFit="1" customWidth="1"/>
    <col min="8967" max="9216" width="9.140625" style="438"/>
    <col min="9217" max="9217" width="4.85546875" style="438" customWidth="1"/>
    <col min="9218" max="9218" width="16.42578125" style="438" customWidth="1"/>
    <col min="9219" max="9219" width="63" style="438" customWidth="1"/>
    <col min="9220" max="9220" width="7.42578125" style="438" customWidth="1"/>
    <col min="9221" max="9221" width="9.140625" style="438"/>
    <col min="9222" max="9222" width="13.5703125" style="438" bestFit="1" customWidth="1"/>
    <col min="9223" max="9472" width="9.140625" style="438"/>
    <col min="9473" max="9473" width="4.85546875" style="438" customWidth="1"/>
    <col min="9474" max="9474" width="16.42578125" style="438" customWidth="1"/>
    <col min="9475" max="9475" width="63" style="438" customWidth="1"/>
    <col min="9476" max="9476" width="7.42578125" style="438" customWidth="1"/>
    <col min="9477" max="9477" width="9.140625" style="438"/>
    <col min="9478" max="9478" width="13.5703125" style="438" bestFit="1" customWidth="1"/>
    <col min="9479" max="9728" width="9.140625" style="438"/>
    <col min="9729" max="9729" width="4.85546875" style="438" customWidth="1"/>
    <col min="9730" max="9730" width="16.42578125" style="438" customWidth="1"/>
    <col min="9731" max="9731" width="63" style="438" customWidth="1"/>
    <col min="9732" max="9732" width="7.42578125" style="438" customWidth="1"/>
    <col min="9733" max="9733" width="9.140625" style="438"/>
    <col min="9734" max="9734" width="13.5703125" style="438" bestFit="1" customWidth="1"/>
    <col min="9735" max="9984" width="9.140625" style="438"/>
    <col min="9985" max="9985" width="4.85546875" style="438" customWidth="1"/>
    <col min="9986" max="9986" width="16.42578125" style="438" customWidth="1"/>
    <col min="9987" max="9987" width="63" style="438" customWidth="1"/>
    <col min="9988" max="9988" width="7.42578125" style="438" customWidth="1"/>
    <col min="9989" max="9989" width="9.140625" style="438"/>
    <col min="9990" max="9990" width="13.5703125" style="438" bestFit="1" customWidth="1"/>
    <col min="9991" max="10240" width="9.140625" style="438"/>
    <col min="10241" max="10241" width="4.85546875" style="438" customWidth="1"/>
    <col min="10242" max="10242" width="16.42578125" style="438" customWidth="1"/>
    <col min="10243" max="10243" width="63" style="438" customWidth="1"/>
    <col min="10244" max="10244" width="7.42578125" style="438" customWidth="1"/>
    <col min="10245" max="10245" width="9.140625" style="438"/>
    <col min="10246" max="10246" width="13.5703125" style="438" bestFit="1" customWidth="1"/>
    <col min="10247" max="10496" width="9.140625" style="438"/>
    <col min="10497" max="10497" width="4.85546875" style="438" customWidth="1"/>
    <col min="10498" max="10498" width="16.42578125" style="438" customWidth="1"/>
    <col min="10499" max="10499" width="63" style="438" customWidth="1"/>
    <col min="10500" max="10500" width="7.42578125" style="438" customWidth="1"/>
    <col min="10501" max="10501" width="9.140625" style="438"/>
    <col min="10502" max="10502" width="13.5703125" style="438" bestFit="1" customWidth="1"/>
    <col min="10503" max="10752" width="9.140625" style="438"/>
    <col min="10753" max="10753" width="4.85546875" style="438" customWidth="1"/>
    <col min="10754" max="10754" width="16.42578125" style="438" customWidth="1"/>
    <col min="10755" max="10755" width="63" style="438" customWidth="1"/>
    <col min="10756" max="10756" width="7.42578125" style="438" customWidth="1"/>
    <col min="10757" max="10757" width="9.140625" style="438"/>
    <col min="10758" max="10758" width="13.5703125" style="438" bestFit="1" customWidth="1"/>
    <col min="10759" max="11008" width="9.140625" style="438"/>
    <col min="11009" max="11009" width="4.85546875" style="438" customWidth="1"/>
    <col min="11010" max="11010" width="16.42578125" style="438" customWidth="1"/>
    <col min="11011" max="11011" width="63" style="438" customWidth="1"/>
    <col min="11012" max="11012" width="7.42578125" style="438" customWidth="1"/>
    <col min="11013" max="11013" width="9.140625" style="438"/>
    <col min="11014" max="11014" width="13.5703125" style="438" bestFit="1" customWidth="1"/>
    <col min="11015" max="11264" width="9.140625" style="438"/>
    <col min="11265" max="11265" width="4.85546875" style="438" customWidth="1"/>
    <col min="11266" max="11266" width="16.42578125" style="438" customWidth="1"/>
    <col min="11267" max="11267" width="63" style="438" customWidth="1"/>
    <col min="11268" max="11268" width="7.42578125" style="438" customWidth="1"/>
    <col min="11269" max="11269" width="9.140625" style="438"/>
    <col min="11270" max="11270" width="13.5703125" style="438" bestFit="1" customWidth="1"/>
    <col min="11271" max="11520" width="9.140625" style="438"/>
    <col min="11521" max="11521" width="4.85546875" style="438" customWidth="1"/>
    <col min="11522" max="11522" width="16.42578125" style="438" customWidth="1"/>
    <col min="11523" max="11523" width="63" style="438" customWidth="1"/>
    <col min="11524" max="11524" width="7.42578125" style="438" customWidth="1"/>
    <col min="11525" max="11525" width="9.140625" style="438"/>
    <col min="11526" max="11526" width="13.5703125" style="438" bestFit="1" customWidth="1"/>
    <col min="11527" max="11776" width="9.140625" style="438"/>
    <col min="11777" max="11777" width="4.85546875" style="438" customWidth="1"/>
    <col min="11778" max="11778" width="16.42578125" style="438" customWidth="1"/>
    <col min="11779" max="11779" width="63" style="438" customWidth="1"/>
    <col min="11780" max="11780" width="7.42578125" style="438" customWidth="1"/>
    <col min="11781" max="11781" width="9.140625" style="438"/>
    <col min="11782" max="11782" width="13.5703125" style="438" bestFit="1" customWidth="1"/>
    <col min="11783" max="12032" width="9.140625" style="438"/>
    <col min="12033" max="12033" width="4.85546875" style="438" customWidth="1"/>
    <col min="12034" max="12034" width="16.42578125" style="438" customWidth="1"/>
    <col min="12035" max="12035" width="63" style="438" customWidth="1"/>
    <col min="12036" max="12036" width="7.42578125" style="438" customWidth="1"/>
    <col min="12037" max="12037" width="9.140625" style="438"/>
    <col min="12038" max="12038" width="13.5703125" style="438" bestFit="1" customWidth="1"/>
    <col min="12039" max="12288" width="9.140625" style="438"/>
    <col min="12289" max="12289" width="4.85546875" style="438" customWidth="1"/>
    <col min="12290" max="12290" width="16.42578125" style="438" customWidth="1"/>
    <col min="12291" max="12291" width="63" style="438" customWidth="1"/>
    <col min="12292" max="12292" width="7.42578125" style="438" customWidth="1"/>
    <col min="12293" max="12293" width="9.140625" style="438"/>
    <col min="12294" max="12294" width="13.5703125" style="438" bestFit="1" customWidth="1"/>
    <col min="12295" max="12544" width="9.140625" style="438"/>
    <col min="12545" max="12545" width="4.85546875" style="438" customWidth="1"/>
    <col min="12546" max="12546" width="16.42578125" style="438" customWidth="1"/>
    <col min="12547" max="12547" width="63" style="438" customWidth="1"/>
    <col min="12548" max="12548" width="7.42578125" style="438" customWidth="1"/>
    <col min="12549" max="12549" width="9.140625" style="438"/>
    <col min="12550" max="12550" width="13.5703125" style="438" bestFit="1" customWidth="1"/>
    <col min="12551" max="12800" width="9.140625" style="438"/>
    <col min="12801" max="12801" width="4.85546875" style="438" customWidth="1"/>
    <col min="12802" max="12802" width="16.42578125" style="438" customWidth="1"/>
    <col min="12803" max="12803" width="63" style="438" customWidth="1"/>
    <col min="12804" max="12804" width="7.42578125" style="438" customWidth="1"/>
    <col min="12805" max="12805" width="9.140625" style="438"/>
    <col min="12806" max="12806" width="13.5703125" style="438" bestFit="1" customWidth="1"/>
    <col min="12807" max="13056" width="9.140625" style="438"/>
    <col min="13057" max="13057" width="4.85546875" style="438" customWidth="1"/>
    <col min="13058" max="13058" width="16.42578125" style="438" customWidth="1"/>
    <col min="13059" max="13059" width="63" style="438" customWidth="1"/>
    <col min="13060" max="13060" width="7.42578125" style="438" customWidth="1"/>
    <col min="13061" max="13061" width="9.140625" style="438"/>
    <col min="13062" max="13062" width="13.5703125" style="438" bestFit="1" customWidth="1"/>
    <col min="13063" max="13312" width="9.140625" style="438"/>
    <col min="13313" max="13313" width="4.85546875" style="438" customWidth="1"/>
    <col min="13314" max="13314" width="16.42578125" style="438" customWidth="1"/>
    <col min="13315" max="13315" width="63" style="438" customWidth="1"/>
    <col min="13316" max="13316" width="7.42578125" style="438" customWidth="1"/>
    <col min="13317" max="13317" width="9.140625" style="438"/>
    <col min="13318" max="13318" width="13.5703125" style="438" bestFit="1" customWidth="1"/>
    <col min="13319" max="13568" width="9.140625" style="438"/>
    <col min="13569" max="13569" width="4.85546875" style="438" customWidth="1"/>
    <col min="13570" max="13570" width="16.42578125" style="438" customWidth="1"/>
    <col min="13571" max="13571" width="63" style="438" customWidth="1"/>
    <col min="13572" max="13572" width="7.42578125" style="438" customWidth="1"/>
    <col min="13573" max="13573" width="9.140625" style="438"/>
    <col min="13574" max="13574" width="13.5703125" style="438" bestFit="1" customWidth="1"/>
    <col min="13575" max="13824" width="9.140625" style="438"/>
    <col min="13825" max="13825" width="4.85546875" style="438" customWidth="1"/>
    <col min="13826" max="13826" width="16.42578125" style="438" customWidth="1"/>
    <col min="13827" max="13827" width="63" style="438" customWidth="1"/>
    <col min="13828" max="13828" width="7.42578125" style="438" customWidth="1"/>
    <col min="13829" max="13829" width="9.140625" style="438"/>
    <col min="13830" max="13830" width="13.5703125" style="438" bestFit="1" customWidth="1"/>
    <col min="13831" max="14080" width="9.140625" style="438"/>
    <col min="14081" max="14081" width="4.85546875" style="438" customWidth="1"/>
    <col min="14082" max="14082" width="16.42578125" style="438" customWidth="1"/>
    <col min="14083" max="14083" width="63" style="438" customWidth="1"/>
    <col min="14084" max="14084" width="7.42578125" style="438" customWidth="1"/>
    <col min="14085" max="14085" width="9.140625" style="438"/>
    <col min="14086" max="14086" width="13.5703125" style="438" bestFit="1" customWidth="1"/>
    <col min="14087" max="14336" width="9.140625" style="438"/>
    <col min="14337" max="14337" width="4.85546875" style="438" customWidth="1"/>
    <col min="14338" max="14338" width="16.42578125" style="438" customWidth="1"/>
    <col min="14339" max="14339" width="63" style="438" customWidth="1"/>
    <col min="14340" max="14340" width="7.42578125" style="438" customWidth="1"/>
    <col min="14341" max="14341" width="9.140625" style="438"/>
    <col min="14342" max="14342" width="13.5703125" style="438" bestFit="1" customWidth="1"/>
    <col min="14343" max="14592" width="9.140625" style="438"/>
    <col min="14593" max="14593" width="4.85546875" style="438" customWidth="1"/>
    <col min="14594" max="14594" width="16.42578125" style="438" customWidth="1"/>
    <col min="14595" max="14595" width="63" style="438" customWidth="1"/>
    <col min="14596" max="14596" width="7.42578125" style="438" customWidth="1"/>
    <col min="14597" max="14597" width="9.140625" style="438"/>
    <col min="14598" max="14598" width="13.5703125" style="438" bestFit="1" customWidth="1"/>
    <col min="14599" max="14848" width="9.140625" style="438"/>
    <col min="14849" max="14849" width="4.85546875" style="438" customWidth="1"/>
    <col min="14850" max="14850" width="16.42578125" style="438" customWidth="1"/>
    <col min="14851" max="14851" width="63" style="438" customWidth="1"/>
    <col min="14852" max="14852" width="7.42578125" style="438" customWidth="1"/>
    <col min="14853" max="14853" width="9.140625" style="438"/>
    <col min="14854" max="14854" width="13.5703125" style="438" bestFit="1" customWidth="1"/>
    <col min="14855" max="15104" width="9.140625" style="438"/>
    <col min="15105" max="15105" width="4.85546875" style="438" customWidth="1"/>
    <col min="15106" max="15106" width="16.42578125" style="438" customWidth="1"/>
    <col min="15107" max="15107" width="63" style="438" customWidth="1"/>
    <col min="15108" max="15108" width="7.42578125" style="438" customWidth="1"/>
    <col min="15109" max="15109" width="9.140625" style="438"/>
    <col min="15110" max="15110" width="13.5703125" style="438" bestFit="1" customWidth="1"/>
    <col min="15111" max="15360" width="9.140625" style="438"/>
    <col min="15361" max="15361" width="4.85546875" style="438" customWidth="1"/>
    <col min="15362" max="15362" width="16.42578125" style="438" customWidth="1"/>
    <col min="15363" max="15363" width="63" style="438" customWidth="1"/>
    <col min="15364" max="15364" width="7.42578125" style="438" customWidth="1"/>
    <col min="15365" max="15365" width="9.140625" style="438"/>
    <col min="15366" max="15366" width="13.5703125" style="438" bestFit="1" customWidth="1"/>
    <col min="15367" max="15616" width="9.140625" style="438"/>
    <col min="15617" max="15617" width="4.85546875" style="438" customWidth="1"/>
    <col min="15618" max="15618" width="16.42578125" style="438" customWidth="1"/>
    <col min="15619" max="15619" width="63" style="438" customWidth="1"/>
    <col min="15620" max="15620" width="7.42578125" style="438" customWidth="1"/>
    <col min="15621" max="15621" width="9.140625" style="438"/>
    <col min="15622" max="15622" width="13.5703125" style="438" bestFit="1" customWidth="1"/>
    <col min="15623" max="15872" width="9.140625" style="438"/>
    <col min="15873" max="15873" width="4.85546875" style="438" customWidth="1"/>
    <col min="15874" max="15874" width="16.42578125" style="438" customWidth="1"/>
    <col min="15875" max="15875" width="63" style="438" customWidth="1"/>
    <col min="15876" max="15876" width="7.42578125" style="438" customWidth="1"/>
    <col min="15877" max="15877" width="9.140625" style="438"/>
    <col min="15878" max="15878" width="13.5703125" style="438" bestFit="1" customWidth="1"/>
    <col min="15879" max="16128" width="9.140625" style="438"/>
    <col min="16129" max="16129" width="4.85546875" style="438" customWidth="1"/>
    <col min="16130" max="16130" width="16.42578125" style="438" customWidth="1"/>
    <col min="16131" max="16131" width="63" style="438" customWidth="1"/>
    <col min="16132" max="16132" width="7.42578125" style="438" customWidth="1"/>
    <col min="16133" max="16133" width="9.140625" style="438"/>
    <col min="16134" max="16134" width="13.5703125" style="438" bestFit="1" customWidth="1"/>
    <col min="16135" max="16384" width="9.140625" style="438"/>
  </cols>
  <sheetData>
    <row r="2" spans="1:4" ht="15.75">
      <c r="A2" s="570" t="s">
        <v>677</v>
      </c>
      <c r="B2" s="570"/>
      <c r="C2" s="570"/>
      <c r="D2" s="570"/>
    </row>
    <row r="3" spans="1:4" ht="15.75">
      <c r="A3" s="570" t="s">
        <v>678</v>
      </c>
      <c r="B3" s="570"/>
      <c r="C3" s="570"/>
      <c r="D3" s="570"/>
    </row>
    <row r="4" spans="1:4">
      <c r="D4" s="441"/>
    </row>
    <row r="5" spans="1:4" ht="31.5">
      <c r="D5" s="442" t="s">
        <v>679</v>
      </c>
    </row>
    <row r="6" spans="1:4">
      <c r="D6" s="441"/>
    </row>
    <row r="7" spans="1:4" ht="15.75">
      <c r="A7" s="442" t="s">
        <v>680</v>
      </c>
      <c r="B7" s="571" t="s">
        <v>681</v>
      </c>
      <c r="C7" s="571"/>
      <c r="D7" s="443"/>
    </row>
    <row r="8" spans="1:4" ht="15.75">
      <c r="A8" s="442"/>
      <c r="B8" s="444"/>
      <c r="C8" s="445"/>
      <c r="D8" s="443"/>
    </row>
    <row r="9" spans="1:4">
      <c r="B9" s="440" t="s">
        <v>682</v>
      </c>
      <c r="C9" s="440" t="s">
        <v>683</v>
      </c>
      <c r="D9" s="446">
        <v>1</v>
      </c>
    </row>
    <row r="10" spans="1:4">
      <c r="B10" s="440" t="s">
        <v>684</v>
      </c>
      <c r="C10" s="440" t="s">
        <v>685</v>
      </c>
      <c r="D10" s="446">
        <v>2</v>
      </c>
    </row>
    <row r="11" spans="1:4">
      <c r="D11" s="446"/>
    </row>
    <row r="12" spans="1:4" ht="15.75">
      <c r="A12" s="442" t="s">
        <v>686</v>
      </c>
      <c r="B12" s="572" t="s">
        <v>687</v>
      </c>
      <c r="C12" s="572"/>
      <c r="D12" s="443"/>
    </row>
    <row r="13" spans="1:4" ht="15.75">
      <c r="B13" s="447"/>
      <c r="C13" s="448"/>
      <c r="D13" s="449"/>
    </row>
    <row r="14" spans="1:4" ht="30">
      <c r="B14" s="440" t="s">
        <v>688</v>
      </c>
      <c r="C14" s="438" t="s">
        <v>689</v>
      </c>
      <c r="D14" s="446">
        <v>12</v>
      </c>
    </row>
    <row r="15" spans="1:4">
      <c r="B15" s="440" t="s">
        <v>690</v>
      </c>
      <c r="C15" s="438" t="s">
        <v>691</v>
      </c>
      <c r="D15" s="446">
        <v>15</v>
      </c>
    </row>
    <row r="16" spans="1:4" ht="30">
      <c r="B16" s="507" t="s">
        <v>692</v>
      </c>
      <c r="C16" s="438" t="s">
        <v>693</v>
      </c>
      <c r="D16" s="508">
        <v>16</v>
      </c>
    </row>
    <row r="17" spans="1:4" ht="15.75">
      <c r="A17" s="442"/>
      <c r="B17" s="572"/>
      <c r="C17" s="572"/>
      <c r="D17" s="441"/>
    </row>
    <row r="18" spans="1:4">
      <c r="D18" s="441"/>
    </row>
    <row r="19" spans="1:4">
      <c r="B19" s="569"/>
      <c r="C19" s="569"/>
      <c r="D19" s="446"/>
    </row>
    <row r="20" spans="1:4">
      <c r="B20" s="569"/>
      <c r="C20" s="569"/>
      <c r="D20" s="446"/>
    </row>
    <row r="23" spans="1:4">
      <c r="D23" s="443"/>
    </row>
  </sheetData>
  <mergeCells count="7">
    <mergeCell ref="B20:C20"/>
    <mergeCell ref="A2:D2"/>
    <mergeCell ref="A3:D3"/>
    <mergeCell ref="B7:C7"/>
    <mergeCell ref="B12:C12"/>
    <mergeCell ref="B17:C17"/>
    <mergeCell ref="B19:C19"/>
  </mergeCells>
  <printOptions horizontalCentered="1"/>
  <pageMargins left="0.75" right="0.75" top="0.63" bottom="1" header="0.41" footer="0.5"/>
  <pageSetup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1"/>
  <sheetViews>
    <sheetView topLeftCell="A52" workbookViewId="0">
      <selection activeCell="H68" sqref="H68"/>
    </sheetView>
  </sheetViews>
  <sheetFormatPr defaultColWidth="31.42578125" defaultRowHeight="12.75"/>
  <cols>
    <col min="1" max="1" width="2.140625" style="12" customWidth="1"/>
    <col min="2" max="2" width="2.5703125" style="12" customWidth="1"/>
    <col min="3" max="3" width="48.7109375" style="16" customWidth="1"/>
    <col min="4" max="4" width="16.140625" style="16" bestFit="1" customWidth="1"/>
    <col min="5" max="5" width="16.140625" style="122" bestFit="1" customWidth="1"/>
    <col min="6" max="6" width="17.7109375" style="118" bestFit="1" customWidth="1"/>
    <col min="7" max="7" width="16.42578125" style="528" customWidth="1"/>
    <col min="8" max="8" width="20.5703125" style="121" customWidth="1"/>
    <col min="9" max="256" width="31.42578125" style="12"/>
    <col min="257" max="257" width="2.140625" style="12" customWidth="1"/>
    <col min="258" max="258" width="2.5703125" style="12" customWidth="1"/>
    <col min="259" max="259" width="51" style="12" customWidth="1"/>
    <col min="260" max="260" width="21.28515625" style="12" bestFit="1" customWidth="1"/>
    <col min="261" max="261" width="21.140625" style="12" bestFit="1" customWidth="1"/>
    <col min="262" max="262" width="18.7109375" style="12" customWidth="1"/>
    <col min="263" max="263" width="2" style="12" customWidth="1"/>
    <col min="264" max="264" width="11.28515625" style="12" customWidth="1"/>
    <col min="265" max="512" width="31.42578125" style="12"/>
    <col min="513" max="513" width="2.140625" style="12" customWidth="1"/>
    <col min="514" max="514" width="2.5703125" style="12" customWidth="1"/>
    <col min="515" max="515" width="51" style="12" customWidth="1"/>
    <col min="516" max="516" width="21.28515625" style="12" bestFit="1" customWidth="1"/>
    <col min="517" max="517" width="21.140625" style="12" bestFit="1" customWidth="1"/>
    <col min="518" max="518" width="18.7109375" style="12" customWidth="1"/>
    <col min="519" max="519" width="2" style="12" customWidth="1"/>
    <col min="520" max="520" width="11.28515625" style="12" customWidth="1"/>
    <col min="521" max="768" width="31.42578125" style="12"/>
    <col min="769" max="769" width="2.140625" style="12" customWidth="1"/>
    <col min="770" max="770" width="2.5703125" style="12" customWidth="1"/>
    <col min="771" max="771" width="51" style="12" customWidth="1"/>
    <col min="772" max="772" width="21.28515625" style="12" bestFit="1" customWidth="1"/>
    <col min="773" max="773" width="21.140625" style="12" bestFit="1" customWidth="1"/>
    <col min="774" max="774" width="18.7109375" style="12" customWidth="1"/>
    <col min="775" max="775" width="2" style="12" customWidth="1"/>
    <col min="776" max="776" width="11.28515625" style="12" customWidth="1"/>
    <col min="777" max="1024" width="31.42578125" style="12"/>
    <col min="1025" max="1025" width="2.140625" style="12" customWidth="1"/>
    <col min="1026" max="1026" width="2.5703125" style="12" customWidth="1"/>
    <col min="1027" max="1027" width="51" style="12" customWidth="1"/>
    <col min="1028" max="1028" width="21.28515625" style="12" bestFit="1" customWidth="1"/>
    <col min="1029" max="1029" width="21.140625" style="12" bestFit="1" customWidth="1"/>
    <col min="1030" max="1030" width="18.7109375" style="12" customWidth="1"/>
    <col min="1031" max="1031" width="2" style="12" customWidth="1"/>
    <col min="1032" max="1032" width="11.28515625" style="12" customWidth="1"/>
    <col min="1033" max="1280" width="31.42578125" style="12"/>
    <col min="1281" max="1281" width="2.140625" style="12" customWidth="1"/>
    <col min="1282" max="1282" width="2.5703125" style="12" customWidth="1"/>
    <col min="1283" max="1283" width="51" style="12" customWidth="1"/>
    <col min="1284" max="1284" width="21.28515625" style="12" bestFit="1" customWidth="1"/>
    <col min="1285" max="1285" width="21.140625" style="12" bestFit="1" customWidth="1"/>
    <col min="1286" max="1286" width="18.7109375" style="12" customWidth="1"/>
    <col min="1287" max="1287" width="2" style="12" customWidth="1"/>
    <col min="1288" max="1288" width="11.28515625" style="12" customWidth="1"/>
    <col min="1289" max="1536" width="31.42578125" style="12"/>
    <col min="1537" max="1537" width="2.140625" style="12" customWidth="1"/>
    <col min="1538" max="1538" width="2.5703125" style="12" customWidth="1"/>
    <col min="1539" max="1539" width="51" style="12" customWidth="1"/>
    <col min="1540" max="1540" width="21.28515625" style="12" bestFit="1" customWidth="1"/>
    <col min="1541" max="1541" width="21.140625" style="12" bestFit="1" customWidth="1"/>
    <col min="1542" max="1542" width="18.7109375" style="12" customWidth="1"/>
    <col min="1543" max="1543" width="2" style="12" customWidth="1"/>
    <col min="1544" max="1544" width="11.28515625" style="12" customWidth="1"/>
    <col min="1545" max="1792" width="31.42578125" style="12"/>
    <col min="1793" max="1793" width="2.140625" style="12" customWidth="1"/>
    <col min="1794" max="1794" width="2.5703125" style="12" customWidth="1"/>
    <col min="1795" max="1795" width="51" style="12" customWidth="1"/>
    <col min="1796" max="1796" width="21.28515625" style="12" bestFit="1" customWidth="1"/>
    <col min="1797" max="1797" width="21.140625" style="12" bestFit="1" customWidth="1"/>
    <col min="1798" max="1798" width="18.7109375" style="12" customWidth="1"/>
    <col min="1799" max="1799" width="2" style="12" customWidth="1"/>
    <col min="1800" max="1800" width="11.28515625" style="12" customWidth="1"/>
    <col min="1801" max="2048" width="31.42578125" style="12"/>
    <col min="2049" max="2049" width="2.140625" style="12" customWidth="1"/>
    <col min="2050" max="2050" width="2.5703125" style="12" customWidth="1"/>
    <col min="2051" max="2051" width="51" style="12" customWidth="1"/>
    <col min="2052" max="2052" width="21.28515625" style="12" bestFit="1" customWidth="1"/>
    <col min="2053" max="2053" width="21.140625" style="12" bestFit="1" customWidth="1"/>
    <col min="2054" max="2054" width="18.7109375" style="12" customWidth="1"/>
    <col min="2055" max="2055" width="2" style="12" customWidth="1"/>
    <col min="2056" max="2056" width="11.28515625" style="12" customWidth="1"/>
    <col min="2057" max="2304" width="31.42578125" style="12"/>
    <col min="2305" max="2305" width="2.140625" style="12" customWidth="1"/>
    <col min="2306" max="2306" width="2.5703125" style="12" customWidth="1"/>
    <col min="2307" max="2307" width="51" style="12" customWidth="1"/>
    <col min="2308" max="2308" width="21.28515625" style="12" bestFit="1" customWidth="1"/>
    <col min="2309" max="2309" width="21.140625" style="12" bestFit="1" customWidth="1"/>
    <col min="2310" max="2310" width="18.7109375" style="12" customWidth="1"/>
    <col min="2311" max="2311" width="2" style="12" customWidth="1"/>
    <col min="2312" max="2312" width="11.28515625" style="12" customWidth="1"/>
    <col min="2313" max="2560" width="31.42578125" style="12"/>
    <col min="2561" max="2561" width="2.140625" style="12" customWidth="1"/>
    <col min="2562" max="2562" width="2.5703125" style="12" customWidth="1"/>
    <col min="2563" max="2563" width="51" style="12" customWidth="1"/>
    <col min="2564" max="2564" width="21.28515625" style="12" bestFit="1" customWidth="1"/>
    <col min="2565" max="2565" width="21.140625" style="12" bestFit="1" customWidth="1"/>
    <col min="2566" max="2566" width="18.7109375" style="12" customWidth="1"/>
    <col min="2567" max="2567" width="2" style="12" customWidth="1"/>
    <col min="2568" max="2568" width="11.28515625" style="12" customWidth="1"/>
    <col min="2569" max="2816" width="31.42578125" style="12"/>
    <col min="2817" max="2817" width="2.140625" style="12" customWidth="1"/>
    <col min="2818" max="2818" width="2.5703125" style="12" customWidth="1"/>
    <col min="2819" max="2819" width="51" style="12" customWidth="1"/>
    <col min="2820" max="2820" width="21.28515625" style="12" bestFit="1" customWidth="1"/>
    <col min="2821" max="2821" width="21.140625" style="12" bestFit="1" customWidth="1"/>
    <col min="2822" max="2822" width="18.7109375" style="12" customWidth="1"/>
    <col min="2823" max="2823" width="2" style="12" customWidth="1"/>
    <col min="2824" max="2824" width="11.28515625" style="12" customWidth="1"/>
    <col min="2825" max="3072" width="31.42578125" style="12"/>
    <col min="3073" max="3073" width="2.140625" style="12" customWidth="1"/>
    <col min="3074" max="3074" width="2.5703125" style="12" customWidth="1"/>
    <col min="3075" max="3075" width="51" style="12" customWidth="1"/>
    <col min="3076" max="3076" width="21.28515625" style="12" bestFit="1" customWidth="1"/>
    <col min="3077" max="3077" width="21.140625" style="12" bestFit="1" customWidth="1"/>
    <col min="3078" max="3078" width="18.7109375" style="12" customWidth="1"/>
    <col min="3079" max="3079" width="2" style="12" customWidth="1"/>
    <col min="3080" max="3080" width="11.28515625" style="12" customWidth="1"/>
    <col min="3081" max="3328" width="31.42578125" style="12"/>
    <col min="3329" max="3329" width="2.140625" style="12" customWidth="1"/>
    <col min="3330" max="3330" width="2.5703125" style="12" customWidth="1"/>
    <col min="3331" max="3331" width="51" style="12" customWidth="1"/>
    <col min="3332" max="3332" width="21.28515625" style="12" bestFit="1" customWidth="1"/>
    <col min="3333" max="3333" width="21.140625" style="12" bestFit="1" customWidth="1"/>
    <col min="3334" max="3334" width="18.7109375" style="12" customWidth="1"/>
    <col min="3335" max="3335" width="2" style="12" customWidth="1"/>
    <col min="3336" max="3336" width="11.28515625" style="12" customWidth="1"/>
    <col min="3337" max="3584" width="31.42578125" style="12"/>
    <col min="3585" max="3585" width="2.140625" style="12" customWidth="1"/>
    <col min="3586" max="3586" width="2.5703125" style="12" customWidth="1"/>
    <col min="3587" max="3587" width="51" style="12" customWidth="1"/>
    <col min="3588" max="3588" width="21.28515625" style="12" bestFit="1" customWidth="1"/>
    <col min="3589" max="3589" width="21.140625" style="12" bestFit="1" customWidth="1"/>
    <col min="3590" max="3590" width="18.7109375" style="12" customWidth="1"/>
    <col min="3591" max="3591" width="2" style="12" customWidth="1"/>
    <col min="3592" max="3592" width="11.28515625" style="12" customWidth="1"/>
    <col min="3593" max="3840" width="31.42578125" style="12"/>
    <col min="3841" max="3841" width="2.140625" style="12" customWidth="1"/>
    <col min="3842" max="3842" width="2.5703125" style="12" customWidth="1"/>
    <col min="3843" max="3843" width="51" style="12" customWidth="1"/>
    <col min="3844" max="3844" width="21.28515625" style="12" bestFit="1" customWidth="1"/>
    <col min="3845" max="3845" width="21.140625" style="12" bestFit="1" customWidth="1"/>
    <col min="3846" max="3846" width="18.7109375" style="12" customWidth="1"/>
    <col min="3847" max="3847" width="2" style="12" customWidth="1"/>
    <col min="3848" max="3848" width="11.28515625" style="12" customWidth="1"/>
    <col min="3849" max="4096" width="31.42578125" style="12"/>
    <col min="4097" max="4097" width="2.140625" style="12" customWidth="1"/>
    <col min="4098" max="4098" width="2.5703125" style="12" customWidth="1"/>
    <col min="4099" max="4099" width="51" style="12" customWidth="1"/>
    <col min="4100" max="4100" width="21.28515625" style="12" bestFit="1" customWidth="1"/>
    <col min="4101" max="4101" width="21.140625" style="12" bestFit="1" customWidth="1"/>
    <col min="4102" max="4102" width="18.7109375" style="12" customWidth="1"/>
    <col min="4103" max="4103" width="2" style="12" customWidth="1"/>
    <col min="4104" max="4104" width="11.28515625" style="12" customWidth="1"/>
    <col min="4105" max="4352" width="31.42578125" style="12"/>
    <col min="4353" max="4353" width="2.140625" style="12" customWidth="1"/>
    <col min="4354" max="4354" width="2.5703125" style="12" customWidth="1"/>
    <col min="4355" max="4355" width="51" style="12" customWidth="1"/>
    <col min="4356" max="4356" width="21.28515625" style="12" bestFit="1" customWidth="1"/>
    <col min="4357" max="4357" width="21.140625" style="12" bestFit="1" customWidth="1"/>
    <col min="4358" max="4358" width="18.7109375" style="12" customWidth="1"/>
    <col min="4359" max="4359" width="2" style="12" customWidth="1"/>
    <col min="4360" max="4360" width="11.28515625" style="12" customWidth="1"/>
    <col min="4361" max="4608" width="31.42578125" style="12"/>
    <col min="4609" max="4609" width="2.140625" style="12" customWidth="1"/>
    <col min="4610" max="4610" width="2.5703125" style="12" customWidth="1"/>
    <col min="4611" max="4611" width="51" style="12" customWidth="1"/>
    <col min="4612" max="4612" width="21.28515625" style="12" bestFit="1" customWidth="1"/>
    <col min="4613" max="4613" width="21.140625" style="12" bestFit="1" customWidth="1"/>
    <col min="4614" max="4614" width="18.7109375" style="12" customWidth="1"/>
    <col min="4615" max="4615" width="2" style="12" customWidth="1"/>
    <col min="4616" max="4616" width="11.28515625" style="12" customWidth="1"/>
    <col min="4617" max="4864" width="31.42578125" style="12"/>
    <col min="4865" max="4865" width="2.140625" style="12" customWidth="1"/>
    <col min="4866" max="4866" width="2.5703125" style="12" customWidth="1"/>
    <col min="4867" max="4867" width="51" style="12" customWidth="1"/>
    <col min="4868" max="4868" width="21.28515625" style="12" bestFit="1" customWidth="1"/>
    <col min="4869" max="4869" width="21.140625" style="12" bestFit="1" customWidth="1"/>
    <col min="4870" max="4870" width="18.7109375" style="12" customWidth="1"/>
    <col min="4871" max="4871" width="2" style="12" customWidth="1"/>
    <col min="4872" max="4872" width="11.28515625" style="12" customWidth="1"/>
    <col min="4873" max="5120" width="31.42578125" style="12"/>
    <col min="5121" max="5121" width="2.140625" style="12" customWidth="1"/>
    <col min="5122" max="5122" width="2.5703125" style="12" customWidth="1"/>
    <col min="5123" max="5123" width="51" style="12" customWidth="1"/>
    <col min="5124" max="5124" width="21.28515625" style="12" bestFit="1" customWidth="1"/>
    <col min="5125" max="5125" width="21.140625" style="12" bestFit="1" customWidth="1"/>
    <col min="5126" max="5126" width="18.7109375" style="12" customWidth="1"/>
    <col min="5127" max="5127" width="2" style="12" customWidth="1"/>
    <col min="5128" max="5128" width="11.28515625" style="12" customWidth="1"/>
    <col min="5129" max="5376" width="31.42578125" style="12"/>
    <col min="5377" max="5377" width="2.140625" style="12" customWidth="1"/>
    <col min="5378" max="5378" width="2.5703125" style="12" customWidth="1"/>
    <col min="5379" max="5379" width="51" style="12" customWidth="1"/>
    <col min="5380" max="5380" width="21.28515625" style="12" bestFit="1" customWidth="1"/>
    <col min="5381" max="5381" width="21.140625" style="12" bestFit="1" customWidth="1"/>
    <col min="5382" max="5382" width="18.7109375" style="12" customWidth="1"/>
    <col min="5383" max="5383" width="2" style="12" customWidth="1"/>
    <col min="5384" max="5384" width="11.28515625" style="12" customWidth="1"/>
    <col min="5385" max="5632" width="31.42578125" style="12"/>
    <col min="5633" max="5633" width="2.140625" style="12" customWidth="1"/>
    <col min="5634" max="5634" width="2.5703125" style="12" customWidth="1"/>
    <col min="5635" max="5635" width="51" style="12" customWidth="1"/>
    <col min="5636" max="5636" width="21.28515625" style="12" bestFit="1" customWidth="1"/>
    <col min="5637" max="5637" width="21.140625" style="12" bestFit="1" customWidth="1"/>
    <col min="5638" max="5638" width="18.7109375" style="12" customWidth="1"/>
    <col min="5639" max="5639" width="2" style="12" customWidth="1"/>
    <col min="5640" max="5640" width="11.28515625" style="12" customWidth="1"/>
    <col min="5641" max="5888" width="31.42578125" style="12"/>
    <col min="5889" max="5889" width="2.140625" style="12" customWidth="1"/>
    <col min="5890" max="5890" width="2.5703125" style="12" customWidth="1"/>
    <col min="5891" max="5891" width="51" style="12" customWidth="1"/>
    <col min="5892" max="5892" width="21.28515625" style="12" bestFit="1" customWidth="1"/>
    <col min="5893" max="5893" width="21.140625" style="12" bestFit="1" customWidth="1"/>
    <col min="5894" max="5894" width="18.7109375" style="12" customWidth="1"/>
    <col min="5895" max="5895" width="2" style="12" customWidth="1"/>
    <col min="5896" max="5896" width="11.28515625" style="12" customWidth="1"/>
    <col min="5897" max="6144" width="31.42578125" style="12"/>
    <col min="6145" max="6145" width="2.140625" style="12" customWidth="1"/>
    <col min="6146" max="6146" width="2.5703125" style="12" customWidth="1"/>
    <col min="6147" max="6147" width="51" style="12" customWidth="1"/>
    <col min="6148" max="6148" width="21.28515625" style="12" bestFit="1" customWidth="1"/>
    <col min="6149" max="6149" width="21.140625" style="12" bestFit="1" customWidth="1"/>
    <col min="6150" max="6150" width="18.7109375" style="12" customWidth="1"/>
    <col min="6151" max="6151" width="2" style="12" customWidth="1"/>
    <col min="6152" max="6152" width="11.28515625" style="12" customWidth="1"/>
    <col min="6153" max="6400" width="31.42578125" style="12"/>
    <col min="6401" max="6401" width="2.140625" style="12" customWidth="1"/>
    <col min="6402" max="6402" width="2.5703125" style="12" customWidth="1"/>
    <col min="6403" max="6403" width="51" style="12" customWidth="1"/>
    <col min="6404" max="6404" width="21.28515625" style="12" bestFit="1" customWidth="1"/>
    <col min="6405" max="6405" width="21.140625" style="12" bestFit="1" customWidth="1"/>
    <col min="6406" max="6406" width="18.7109375" style="12" customWidth="1"/>
    <col min="6407" max="6407" width="2" style="12" customWidth="1"/>
    <col min="6408" max="6408" width="11.28515625" style="12" customWidth="1"/>
    <col min="6409" max="6656" width="31.42578125" style="12"/>
    <col min="6657" max="6657" width="2.140625" style="12" customWidth="1"/>
    <col min="6658" max="6658" width="2.5703125" style="12" customWidth="1"/>
    <col min="6659" max="6659" width="51" style="12" customWidth="1"/>
    <col min="6660" max="6660" width="21.28515625" style="12" bestFit="1" customWidth="1"/>
    <col min="6661" max="6661" width="21.140625" style="12" bestFit="1" customWidth="1"/>
    <col min="6662" max="6662" width="18.7109375" style="12" customWidth="1"/>
    <col min="6663" max="6663" width="2" style="12" customWidth="1"/>
    <col min="6664" max="6664" width="11.28515625" style="12" customWidth="1"/>
    <col min="6665" max="6912" width="31.42578125" style="12"/>
    <col min="6913" max="6913" width="2.140625" style="12" customWidth="1"/>
    <col min="6914" max="6914" width="2.5703125" style="12" customWidth="1"/>
    <col min="6915" max="6915" width="51" style="12" customWidth="1"/>
    <col min="6916" max="6916" width="21.28515625" style="12" bestFit="1" customWidth="1"/>
    <col min="6917" max="6917" width="21.140625" style="12" bestFit="1" customWidth="1"/>
    <col min="6918" max="6918" width="18.7109375" style="12" customWidth="1"/>
    <col min="6919" max="6919" width="2" style="12" customWidth="1"/>
    <col min="6920" max="6920" width="11.28515625" style="12" customWidth="1"/>
    <col min="6921" max="7168" width="31.42578125" style="12"/>
    <col min="7169" max="7169" width="2.140625" style="12" customWidth="1"/>
    <col min="7170" max="7170" width="2.5703125" style="12" customWidth="1"/>
    <col min="7171" max="7171" width="51" style="12" customWidth="1"/>
    <col min="7172" max="7172" width="21.28515625" style="12" bestFit="1" customWidth="1"/>
    <col min="7173" max="7173" width="21.140625" style="12" bestFit="1" customWidth="1"/>
    <col min="7174" max="7174" width="18.7109375" style="12" customWidth="1"/>
    <col min="7175" max="7175" width="2" style="12" customWidth="1"/>
    <col min="7176" max="7176" width="11.28515625" style="12" customWidth="1"/>
    <col min="7177" max="7424" width="31.42578125" style="12"/>
    <col min="7425" max="7425" width="2.140625" style="12" customWidth="1"/>
    <col min="7426" max="7426" width="2.5703125" style="12" customWidth="1"/>
    <col min="7427" max="7427" width="51" style="12" customWidth="1"/>
    <col min="7428" max="7428" width="21.28515625" style="12" bestFit="1" customWidth="1"/>
    <col min="7429" max="7429" width="21.140625" style="12" bestFit="1" customWidth="1"/>
    <col min="7430" max="7430" width="18.7109375" style="12" customWidth="1"/>
    <col min="7431" max="7431" width="2" style="12" customWidth="1"/>
    <col min="7432" max="7432" width="11.28515625" style="12" customWidth="1"/>
    <col min="7433" max="7680" width="31.42578125" style="12"/>
    <col min="7681" max="7681" width="2.140625" style="12" customWidth="1"/>
    <col min="7682" max="7682" width="2.5703125" style="12" customWidth="1"/>
    <col min="7683" max="7683" width="51" style="12" customWidth="1"/>
    <col min="7684" max="7684" width="21.28515625" style="12" bestFit="1" customWidth="1"/>
    <col min="7685" max="7685" width="21.140625" style="12" bestFit="1" customWidth="1"/>
    <col min="7686" max="7686" width="18.7109375" style="12" customWidth="1"/>
    <col min="7687" max="7687" width="2" style="12" customWidth="1"/>
    <col min="7688" max="7688" width="11.28515625" style="12" customWidth="1"/>
    <col min="7689" max="7936" width="31.42578125" style="12"/>
    <col min="7937" max="7937" width="2.140625" style="12" customWidth="1"/>
    <col min="7938" max="7938" width="2.5703125" style="12" customWidth="1"/>
    <col min="7939" max="7939" width="51" style="12" customWidth="1"/>
    <col min="7940" max="7940" width="21.28515625" style="12" bestFit="1" customWidth="1"/>
    <col min="7941" max="7941" width="21.140625" style="12" bestFit="1" customWidth="1"/>
    <col min="7942" max="7942" width="18.7109375" style="12" customWidth="1"/>
    <col min="7943" max="7943" width="2" style="12" customWidth="1"/>
    <col min="7944" max="7944" width="11.28515625" style="12" customWidth="1"/>
    <col min="7945" max="8192" width="31.42578125" style="12"/>
    <col min="8193" max="8193" width="2.140625" style="12" customWidth="1"/>
    <col min="8194" max="8194" width="2.5703125" style="12" customWidth="1"/>
    <col min="8195" max="8195" width="51" style="12" customWidth="1"/>
    <col min="8196" max="8196" width="21.28515625" style="12" bestFit="1" customWidth="1"/>
    <col min="8197" max="8197" width="21.140625" style="12" bestFit="1" customWidth="1"/>
    <col min="8198" max="8198" width="18.7109375" style="12" customWidth="1"/>
    <col min="8199" max="8199" width="2" style="12" customWidth="1"/>
    <col min="8200" max="8200" width="11.28515625" style="12" customWidth="1"/>
    <col min="8201" max="8448" width="31.42578125" style="12"/>
    <col min="8449" max="8449" width="2.140625" style="12" customWidth="1"/>
    <col min="8450" max="8450" width="2.5703125" style="12" customWidth="1"/>
    <col min="8451" max="8451" width="51" style="12" customWidth="1"/>
    <col min="8452" max="8452" width="21.28515625" style="12" bestFit="1" customWidth="1"/>
    <col min="8453" max="8453" width="21.140625" style="12" bestFit="1" customWidth="1"/>
    <col min="8454" max="8454" width="18.7109375" style="12" customWidth="1"/>
    <col min="8455" max="8455" width="2" style="12" customWidth="1"/>
    <col min="8456" max="8456" width="11.28515625" style="12" customWidth="1"/>
    <col min="8457" max="8704" width="31.42578125" style="12"/>
    <col min="8705" max="8705" width="2.140625" style="12" customWidth="1"/>
    <col min="8706" max="8706" width="2.5703125" style="12" customWidth="1"/>
    <col min="8707" max="8707" width="51" style="12" customWidth="1"/>
    <col min="8708" max="8708" width="21.28515625" style="12" bestFit="1" customWidth="1"/>
    <col min="8709" max="8709" width="21.140625" style="12" bestFit="1" customWidth="1"/>
    <col min="8710" max="8710" width="18.7109375" style="12" customWidth="1"/>
    <col min="8711" max="8711" width="2" style="12" customWidth="1"/>
    <col min="8712" max="8712" width="11.28515625" style="12" customWidth="1"/>
    <col min="8713" max="8960" width="31.42578125" style="12"/>
    <col min="8961" max="8961" width="2.140625" style="12" customWidth="1"/>
    <col min="8962" max="8962" width="2.5703125" style="12" customWidth="1"/>
    <col min="8963" max="8963" width="51" style="12" customWidth="1"/>
    <col min="8964" max="8964" width="21.28515625" style="12" bestFit="1" customWidth="1"/>
    <col min="8965" max="8965" width="21.140625" style="12" bestFit="1" customWidth="1"/>
    <col min="8966" max="8966" width="18.7109375" style="12" customWidth="1"/>
    <col min="8967" max="8967" width="2" style="12" customWidth="1"/>
    <col min="8968" max="8968" width="11.28515625" style="12" customWidth="1"/>
    <col min="8969" max="9216" width="31.42578125" style="12"/>
    <col min="9217" max="9217" width="2.140625" style="12" customWidth="1"/>
    <col min="9218" max="9218" width="2.5703125" style="12" customWidth="1"/>
    <col min="9219" max="9219" width="51" style="12" customWidth="1"/>
    <col min="9220" max="9220" width="21.28515625" style="12" bestFit="1" customWidth="1"/>
    <col min="9221" max="9221" width="21.140625" style="12" bestFit="1" customWidth="1"/>
    <col min="9222" max="9222" width="18.7109375" style="12" customWidth="1"/>
    <col min="9223" max="9223" width="2" style="12" customWidth="1"/>
    <col min="9224" max="9224" width="11.28515625" style="12" customWidth="1"/>
    <col min="9225" max="9472" width="31.42578125" style="12"/>
    <col min="9473" max="9473" width="2.140625" style="12" customWidth="1"/>
    <col min="9474" max="9474" width="2.5703125" style="12" customWidth="1"/>
    <col min="9475" max="9475" width="51" style="12" customWidth="1"/>
    <col min="9476" max="9476" width="21.28515625" style="12" bestFit="1" customWidth="1"/>
    <col min="9477" max="9477" width="21.140625" style="12" bestFit="1" customWidth="1"/>
    <col min="9478" max="9478" width="18.7109375" style="12" customWidth="1"/>
    <col min="9479" max="9479" width="2" style="12" customWidth="1"/>
    <col min="9480" max="9480" width="11.28515625" style="12" customWidth="1"/>
    <col min="9481" max="9728" width="31.42578125" style="12"/>
    <col min="9729" max="9729" width="2.140625" style="12" customWidth="1"/>
    <col min="9730" max="9730" width="2.5703125" style="12" customWidth="1"/>
    <col min="9731" max="9731" width="51" style="12" customWidth="1"/>
    <col min="9732" max="9732" width="21.28515625" style="12" bestFit="1" customWidth="1"/>
    <col min="9733" max="9733" width="21.140625" style="12" bestFit="1" customWidth="1"/>
    <col min="9734" max="9734" width="18.7109375" style="12" customWidth="1"/>
    <col min="9735" max="9735" width="2" style="12" customWidth="1"/>
    <col min="9736" max="9736" width="11.28515625" style="12" customWidth="1"/>
    <col min="9737" max="9984" width="31.42578125" style="12"/>
    <col min="9985" max="9985" width="2.140625" style="12" customWidth="1"/>
    <col min="9986" max="9986" width="2.5703125" style="12" customWidth="1"/>
    <col min="9987" max="9987" width="51" style="12" customWidth="1"/>
    <col min="9988" max="9988" width="21.28515625" style="12" bestFit="1" customWidth="1"/>
    <col min="9989" max="9989" width="21.140625" style="12" bestFit="1" customWidth="1"/>
    <col min="9990" max="9990" width="18.7109375" style="12" customWidth="1"/>
    <col min="9991" max="9991" width="2" style="12" customWidth="1"/>
    <col min="9992" max="9992" width="11.28515625" style="12" customWidth="1"/>
    <col min="9993" max="10240" width="31.42578125" style="12"/>
    <col min="10241" max="10241" width="2.140625" style="12" customWidth="1"/>
    <col min="10242" max="10242" width="2.5703125" style="12" customWidth="1"/>
    <col min="10243" max="10243" width="51" style="12" customWidth="1"/>
    <col min="10244" max="10244" width="21.28515625" style="12" bestFit="1" customWidth="1"/>
    <col min="10245" max="10245" width="21.140625" style="12" bestFit="1" customWidth="1"/>
    <col min="10246" max="10246" width="18.7109375" style="12" customWidth="1"/>
    <col min="10247" max="10247" width="2" style="12" customWidth="1"/>
    <col min="10248" max="10248" width="11.28515625" style="12" customWidth="1"/>
    <col min="10249" max="10496" width="31.42578125" style="12"/>
    <col min="10497" max="10497" width="2.140625" style="12" customWidth="1"/>
    <col min="10498" max="10498" width="2.5703125" style="12" customWidth="1"/>
    <col min="10499" max="10499" width="51" style="12" customWidth="1"/>
    <col min="10500" max="10500" width="21.28515625" style="12" bestFit="1" customWidth="1"/>
    <col min="10501" max="10501" width="21.140625" style="12" bestFit="1" customWidth="1"/>
    <col min="10502" max="10502" width="18.7109375" style="12" customWidth="1"/>
    <col min="10503" max="10503" width="2" style="12" customWidth="1"/>
    <col min="10504" max="10504" width="11.28515625" style="12" customWidth="1"/>
    <col min="10505" max="10752" width="31.42578125" style="12"/>
    <col min="10753" max="10753" width="2.140625" style="12" customWidth="1"/>
    <col min="10754" max="10754" width="2.5703125" style="12" customWidth="1"/>
    <col min="10755" max="10755" width="51" style="12" customWidth="1"/>
    <col min="10756" max="10756" width="21.28515625" style="12" bestFit="1" customWidth="1"/>
    <col min="10757" max="10757" width="21.140625" style="12" bestFit="1" customWidth="1"/>
    <col min="10758" max="10758" width="18.7109375" style="12" customWidth="1"/>
    <col min="10759" max="10759" width="2" style="12" customWidth="1"/>
    <col min="10760" max="10760" width="11.28515625" style="12" customWidth="1"/>
    <col min="10761" max="11008" width="31.42578125" style="12"/>
    <col min="11009" max="11009" width="2.140625" style="12" customWidth="1"/>
    <col min="11010" max="11010" width="2.5703125" style="12" customWidth="1"/>
    <col min="11011" max="11011" width="51" style="12" customWidth="1"/>
    <col min="11012" max="11012" width="21.28515625" style="12" bestFit="1" customWidth="1"/>
    <col min="11013" max="11013" width="21.140625" style="12" bestFit="1" customWidth="1"/>
    <col min="11014" max="11014" width="18.7109375" style="12" customWidth="1"/>
    <col min="11015" max="11015" width="2" style="12" customWidth="1"/>
    <col min="11016" max="11016" width="11.28515625" style="12" customWidth="1"/>
    <col min="11017" max="11264" width="31.42578125" style="12"/>
    <col min="11265" max="11265" width="2.140625" style="12" customWidth="1"/>
    <col min="11266" max="11266" width="2.5703125" style="12" customWidth="1"/>
    <col min="11267" max="11267" width="51" style="12" customWidth="1"/>
    <col min="11268" max="11268" width="21.28515625" style="12" bestFit="1" customWidth="1"/>
    <col min="11269" max="11269" width="21.140625" style="12" bestFit="1" customWidth="1"/>
    <col min="11270" max="11270" width="18.7109375" style="12" customWidth="1"/>
    <col min="11271" max="11271" width="2" style="12" customWidth="1"/>
    <col min="11272" max="11272" width="11.28515625" style="12" customWidth="1"/>
    <col min="11273" max="11520" width="31.42578125" style="12"/>
    <col min="11521" max="11521" width="2.140625" style="12" customWidth="1"/>
    <col min="11522" max="11522" width="2.5703125" style="12" customWidth="1"/>
    <col min="11523" max="11523" width="51" style="12" customWidth="1"/>
    <col min="11524" max="11524" width="21.28515625" style="12" bestFit="1" customWidth="1"/>
    <col min="11525" max="11525" width="21.140625" style="12" bestFit="1" customWidth="1"/>
    <col min="11526" max="11526" width="18.7109375" style="12" customWidth="1"/>
    <col min="11527" max="11527" width="2" style="12" customWidth="1"/>
    <col min="11528" max="11528" width="11.28515625" style="12" customWidth="1"/>
    <col min="11529" max="11776" width="31.42578125" style="12"/>
    <col min="11777" max="11777" width="2.140625" style="12" customWidth="1"/>
    <col min="11778" max="11778" width="2.5703125" style="12" customWidth="1"/>
    <col min="11779" max="11779" width="51" style="12" customWidth="1"/>
    <col min="11780" max="11780" width="21.28515625" style="12" bestFit="1" customWidth="1"/>
    <col min="11781" max="11781" width="21.140625" style="12" bestFit="1" customWidth="1"/>
    <col min="11782" max="11782" width="18.7109375" style="12" customWidth="1"/>
    <col min="11783" max="11783" width="2" style="12" customWidth="1"/>
    <col min="11784" max="11784" width="11.28515625" style="12" customWidth="1"/>
    <col min="11785" max="12032" width="31.42578125" style="12"/>
    <col min="12033" max="12033" width="2.140625" style="12" customWidth="1"/>
    <col min="12034" max="12034" width="2.5703125" style="12" customWidth="1"/>
    <col min="12035" max="12035" width="51" style="12" customWidth="1"/>
    <col min="12036" max="12036" width="21.28515625" style="12" bestFit="1" customWidth="1"/>
    <col min="12037" max="12037" width="21.140625" style="12" bestFit="1" customWidth="1"/>
    <col min="12038" max="12038" width="18.7109375" style="12" customWidth="1"/>
    <col min="12039" max="12039" width="2" style="12" customWidth="1"/>
    <col min="12040" max="12040" width="11.28515625" style="12" customWidth="1"/>
    <col min="12041" max="12288" width="31.42578125" style="12"/>
    <col min="12289" max="12289" width="2.140625" style="12" customWidth="1"/>
    <col min="12290" max="12290" width="2.5703125" style="12" customWidth="1"/>
    <col min="12291" max="12291" width="51" style="12" customWidth="1"/>
    <col min="12292" max="12292" width="21.28515625" style="12" bestFit="1" customWidth="1"/>
    <col min="12293" max="12293" width="21.140625" style="12" bestFit="1" customWidth="1"/>
    <col min="12294" max="12294" width="18.7109375" style="12" customWidth="1"/>
    <col min="12295" max="12295" width="2" style="12" customWidth="1"/>
    <col min="12296" max="12296" width="11.28515625" style="12" customWidth="1"/>
    <col min="12297" max="12544" width="31.42578125" style="12"/>
    <col min="12545" max="12545" width="2.140625" style="12" customWidth="1"/>
    <col min="12546" max="12546" width="2.5703125" style="12" customWidth="1"/>
    <col min="12547" max="12547" width="51" style="12" customWidth="1"/>
    <col min="12548" max="12548" width="21.28515625" style="12" bestFit="1" customWidth="1"/>
    <col min="12549" max="12549" width="21.140625" style="12" bestFit="1" customWidth="1"/>
    <col min="12550" max="12550" width="18.7109375" style="12" customWidth="1"/>
    <col min="12551" max="12551" width="2" style="12" customWidth="1"/>
    <col min="12552" max="12552" width="11.28515625" style="12" customWidth="1"/>
    <col min="12553" max="12800" width="31.42578125" style="12"/>
    <col min="12801" max="12801" width="2.140625" style="12" customWidth="1"/>
    <col min="12802" max="12802" width="2.5703125" style="12" customWidth="1"/>
    <col min="12803" max="12803" width="51" style="12" customWidth="1"/>
    <col min="12804" max="12804" width="21.28515625" style="12" bestFit="1" customWidth="1"/>
    <col min="12805" max="12805" width="21.140625" style="12" bestFit="1" customWidth="1"/>
    <col min="12806" max="12806" width="18.7109375" style="12" customWidth="1"/>
    <col min="12807" max="12807" width="2" style="12" customWidth="1"/>
    <col min="12808" max="12808" width="11.28515625" style="12" customWidth="1"/>
    <col min="12809" max="13056" width="31.42578125" style="12"/>
    <col min="13057" max="13057" width="2.140625" style="12" customWidth="1"/>
    <col min="13058" max="13058" width="2.5703125" style="12" customWidth="1"/>
    <col min="13059" max="13059" width="51" style="12" customWidth="1"/>
    <col min="13060" max="13060" width="21.28515625" style="12" bestFit="1" customWidth="1"/>
    <col min="13061" max="13061" width="21.140625" style="12" bestFit="1" customWidth="1"/>
    <col min="13062" max="13062" width="18.7109375" style="12" customWidth="1"/>
    <col min="13063" max="13063" width="2" style="12" customWidth="1"/>
    <col min="13064" max="13064" width="11.28515625" style="12" customWidth="1"/>
    <col min="13065" max="13312" width="31.42578125" style="12"/>
    <col min="13313" max="13313" width="2.140625" style="12" customWidth="1"/>
    <col min="13314" max="13314" width="2.5703125" style="12" customWidth="1"/>
    <col min="13315" max="13315" width="51" style="12" customWidth="1"/>
    <col min="13316" max="13316" width="21.28515625" style="12" bestFit="1" customWidth="1"/>
    <col min="13317" max="13317" width="21.140625" style="12" bestFit="1" customWidth="1"/>
    <col min="13318" max="13318" width="18.7109375" style="12" customWidth="1"/>
    <col min="13319" max="13319" width="2" style="12" customWidth="1"/>
    <col min="13320" max="13320" width="11.28515625" style="12" customWidth="1"/>
    <col min="13321" max="13568" width="31.42578125" style="12"/>
    <col min="13569" max="13569" width="2.140625" style="12" customWidth="1"/>
    <col min="13570" max="13570" width="2.5703125" style="12" customWidth="1"/>
    <col min="13571" max="13571" width="51" style="12" customWidth="1"/>
    <col min="13572" max="13572" width="21.28515625" style="12" bestFit="1" customWidth="1"/>
    <col min="13573" max="13573" width="21.140625" style="12" bestFit="1" customWidth="1"/>
    <col min="13574" max="13574" width="18.7109375" style="12" customWidth="1"/>
    <col min="13575" max="13575" width="2" style="12" customWidth="1"/>
    <col min="13576" max="13576" width="11.28515625" style="12" customWidth="1"/>
    <col min="13577" max="13824" width="31.42578125" style="12"/>
    <col min="13825" max="13825" width="2.140625" style="12" customWidth="1"/>
    <col min="13826" max="13826" width="2.5703125" style="12" customWidth="1"/>
    <col min="13827" max="13827" width="51" style="12" customWidth="1"/>
    <col min="13828" max="13828" width="21.28515625" style="12" bestFit="1" customWidth="1"/>
    <col min="13829" max="13829" width="21.140625" style="12" bestFit="1" customWidth="1"/>
    <col min="13830" max="13830" width="18.7109375" style="12" customWidth="1"/>
    <col min="13831" max="13831" width="2" style="12" customWidth="1"/>
    <col min="13832" max="13832" width="11.28515625" style="12" customWidth="1"/>
    <col min="13833" max="14080" width="31.42578125" style="12"/>
    <col min="14081" max="14081" width="2.140625" style="12" customWidth="1"/>
    <col min="14082" max="14082" width="2.5703125" style="12" customWidth="1"/>
    <col min="14083" max="14083" width="51" style="12" customWidth="1"/>
    <col min="14084" max="14084" width="21.28515625" style="12" bestFit="1" customWidth="1"/>
    <col min="14085" max="14085" width="21.140625" style="12" bestFit="1" customWidth="1"/>
    <col min="14086" max="14086" width="18.7109375" style="12" customWidth="1"/>
    <col min="14087" max="14087" width="2" style="12" customWidth="1"/>
    <col min="14088" max="14088" width="11.28515625" style="12" customWidth="1"/>
    <col min="14089" max="14336" width="31.42578125" style="12"/>
    <col min="14337" max="14337" width="2.140625" style="12" customWidth="1"/>
    <col min="14338" max="14338" width="2.5703125" style="12" customWidth="1"/>
    <col min="14339" max="14339" width="51" style="12" customWidth="1"/>
    <col min="14340" max="14340" width="21.28515625" style="12" bestFit="1" customWidth="1"/>
    <col min="14341" max="14341" width="21.140625" style="12" bestFit="1" customWidth="1"/>
    <col min="14342" max="14342" width="18.7109375" style="12" customWidth="1"/>
    <col min="14343" max="14343" width="2" style="12" customWidth="1"/>
    <col min="14344" max="14344" width="11.28515625" style="12" customWidth="1"/>
    <col min="14345" max="14592" width="31.42578125" style="12"/>
    <col min="14593" max="14593" width="2.140625" style="12" customWidth="1"/>
    <col min="14594" max="14594" width="2.5703125" style="12" customWidth="1"/>
    <col min="14595" max="14595" width="51" style="12" customWidth="1"/>
    <col min="14596" max="14596" width="21.28515625" style="12" bestFit="1" customWidth="1"/>
    <col min="14597" max="14597" width="21.140625" style="12" bestFit="1" customWidth="1"/>
    <col min="14598" max="14598" width="18.7109375" style="12" customWidth="1"/>
    <col min="14599" max="14599" width="2" style="12" customWidth="1"/>
    <col min="14600" max="14600" width="11.28515625" style="12" customWidth="1"/>
    <col min="14601" max="14848" width="31.42578125" style="12"/>
    <col min="14849" max="14849" width="2.140625" style="12" customWidth="1"/>
    <col min="14850" max="14850" width="2.5703125" style="12" customWidth="1"/>
    <col min="14851" max="14851" width="51" style="12" customWidth="1"/>
    <col min="14852" max="14852" width="21.28515625" style="12" bestFit="1" customWidth="1"/>
    <col min="14853" max="14853" width="21.140625" style="12" bestFit="1" customWidth="1"/>
    <col min="14854" max="14854" width="18.7109375" style="12" customWidth="1"/>
    <col min="14855" max="14855" width="2" style="12" customWidth="1"/>
    <col min="14856" max="14856" width="11.28515625" style="12" customWidth="1"/>
    <col min="14857" max="15104" width="31.42578125" style="12"/>
    <col min="15105" max="15105" width="2.140625" style="12" customWidth="1"/>
    <col min="15106" max="15106" width="2.5703125" style="12" customWidth="1"/>
    <col min="15107" max="15107" width="51" style="12" customWidth="1"/>
    <col min="15108" max="15108" width="21.28515625" style="12" bestFit="1" customWidth="1"/>
    <col min="15109" max="15109" width="21.140625" style="12" bestFit="1" customWidth="1"/>
    <col min="15110" max="15110" width="18.7109375" style="12" customWidth="1"/>
    <col min="15111" max="15111" width="2" style="12" customWidth="1"/>
    <col min="15112" max="15112" width="11.28515625" style="12" customWidth="1"/>
    <col min="15113" max="15360" width="31.42578125" style="12"/>
    <col min="15361" max="15361" width="2.140625" style="12" customWidth="1"/>
    <col min="15362" max="15362" width="2.5703125" style="12" customWidth="1"/>
    <col min="15363" max="15363" width="51" style="12" customWidth="1"/>
    <col min="15364" max="15364" width="21.28515625" style="12" bestFit="1" customWidth="1"/>
    <col min="15365" max="15365" width="21.140625" style="12" bestFit="1" customWidth="1"/>
    <col min="15366" max="15366" width="18.7109375" style="12" customWidth="1"/>
    <col min="15367" max="15367" width="2" style="12" customWidth="1"/>
    <col min="15368" max="15368" width="11.28515625" style="12" customWidth="1"/>
    <col min="15369" max="15616" width="31.42578125" style="12"/>
    <col min="15617" max="15617" width="2.140625" style="12" customWidth="1"/>
    <col min="15618" max="15618" width="2.5703125" style="12" customWidth="1"/>
    <col min="15619" max="15619" width="51" style="12" customWidth="1"/>
    <col min="15620" max="15620" width="21.28515625" style="12" bestFit="1" customWidth="1"/>
    <col min="15621" max="15621" width="21.140625" style="12" bestFit="1" customWidth="1"/>
    <col min="15622" max="15622" width="18.7109375" style="12" customWidth="1"/>
    <col min="15623" max="15623" width="2" style="12" customWidth="1"/>
    <col min="15624" max="15624" width="11.28515625" style="12" customWidth="1"/>
    <col min="15625" max="15872" width="31.42578125" style="12"/>
    <col min="15873" max="15873" width="2.140625" style="12" customWidth="1"/>
    <col min="15874" max="15874" width="2.5703125" style="12" customWidth="1"/>
    <col min="15875" max="15875" width="51" style="12" customWidth="1"/>
    <col min="15876" max="15876" width="21.28515625" style="12" bestFit="1" customWidth="1"/>
    <col min="15877" max="15877" width="21.140625" style="12" bestFit="1" customWidth="1"/>
    <col min="15878" max="15878" width="18.7109375" style="12" customWidth="1"/>
    <col min="15879" max="15879" width="2" style="12" customWidth="1"/>
    <col min="15880" max="15880" width="11.28515625" style="12" customWidth="1"/>
    <col min="15881" max="16128" width="31.42578125" style="12"/>
    <col min="16129" max="16129" width="2.140625" style="12" customWidth="1"/>
    <col min="16130" max="16130" width="2.5703125" style="12" customWidth="1"/>
    <col min="16131" max="16131" width="51" style="12" customWidth="1"/>
    <col min="16132" max="16132" width="21.28515625" style="12" bestFit="1" customWidth="1"/>
    <col min="16133" max="16133" width="21.140625" style="12" bestFit="1" customWidth="1"/>
    <col min="16134" max="16134" width="18.7109375" style="12" customWidth="1"/>
    <col min="16135" max="16135" width="2" style="12" customWidth="1"/>
    <col min="16136" max="16136" width="11.28515625" style="12" customWidth="1"/>
    <col min="16137" max="16384" width="31.42578125" style="12"/>
  </cols>
  <sheetData>
    <row r="1" spans="1:8" ht="13.5" thickBot="1">
      <c r="A1" s="573" t="s">
        <v>570</v>
      </c>
      <c r="B1" s="574"/>
      <c r="C1" s="574"/>
      <c r="D1" s="574"/>
      <c r="E1" s="574"/>
      <c r="F1" s="574"/>
      <c r="G1" s="575"/>
      <c r="H1" s="11"/>
    </row>
    <row r="2" spans="1:8" ht="13.5" thickTop="1">
      <c r="A2" s="576" t="s">
        <v>360</v>
      </c>
      <c r="B2" s="577"/>
      <c r="C2" s="577"/>
      <c r="D2" s="577"/>
      <c r="E2" s="577"/>
      <c r="F2" s="577"/>
      <c r="G2" s="578"/>
      <c r="H2" s="11"/>
    </row>
    <row r="3" spans="1:8">
      <c r="A3" s="579" t="s">
        <v>367</v>
      </c>
      <c r="B3" s="580"/>
      <c r="C3" s="580"/>
      <c r="D3" s="580"/>
      <c r="E3" s="580"/>
      <c r="F3" s="580"/>
      <c r="G3" s="581"/>
      <c r="H3" s="11"/>
    </row>
    <row r="4" spans="1:8">
      <c r="A4" s="582" t="s">
        <v>368</v>
      </c>
      <c r="B4" s="583"/>
      <c r="C4" s="583"/>
      <c r="D4" s="583"/>
      <c r="E4" s="583"/>
      <c r="F4" s="583"/>
      <c r="G4" s="584"/>
      <c r="H4" s="11"/>
    </row>
    <row r="5" spans="1:8">
      <c r="A5" s="13"/>
      <c r="B5" s="14"/>
      <c r="C5" s="15"/>
      <c r="D5" s="169"/>
      <c r="E5" s="174"/>
      <c r="F5" s="119"/>
      <c r="G5" s="509"/>
      <c r="H5" s="124"/>
    </row>
    <row r="6" spans="1:8">
      <c r="A6" s="17"/>
      <c r="C6" s="18"/>
      <c r="D6" s="171"/>
      <c r="E6" s="118"/>
      <c r="F6" s="165" t="s">
        <v>2</v>
      </c>
      <c r="G6" s="510"/>
      <c r="H6" s="124"/>
    </row>
    <row r="7" spans="1:8">
      <c r="A7" s="585" t="s">
        <v>369</v>
      </c>
      <c r="B7" s="586"/>
      <c r="C7" s="587"/>
      <c r="D7" s="172" t="s">
        <v>516</v>
      </c>
      <c r="E7" s="175" t="s">
        <v>3</v>
      </c>
      <c r="F7" s="165" t="s">
        <v>469</v>
      </c>
      <c r="G7" s="511" t="s">
        <v>3</v>
      </c>
      <c r="H7" s="124"/>
    </row>
    <row r="8" spans="1:8">
      <c r="A8" s="17"/>
      <c r="C8" s="18"/>
      <c r="D8" s="186" t="s">
        <v>521</v>
      </c>
      <c r="E8" s="176" t="s">
        <v>528</v>
      </c>
      <c r="F8" s="166" t="s">
        <v>567</v>
      </c>
      <c r="G8" s="512" t="s">
        <v>530</v>
      </c>
      <c r="H8" s="124"/>
    </row>
    <row r="9" spans="1:8">
      <c r="A9" s="17"/>
      <c r="C9" s="18"/>
      <c r="D9" s="171"/>
      <c r="E9" s="176"/>
      <c r="F9" s="166" t="s">
        <v>573</v>
      </c>
      <c r="G9" s="512"/>
      <c r="H9" s="124"/>
    </row>
    <row r="10" spans="1:8">
      <c r="A10" s="19"/>
      <c r="B10" s="20"/>
      <c r="C10" s="21"/>
      <c r="D10" s="177" t="s">
        <v>361</v>
      </c>
      <c r="E10" s="178" t="s">
        <v>361</v>
      </c>
      <c r="F10" s="178" t="s">
        <v>361</v>
      </c>
      <c r="G10" s="513" t="s">
        <v>361</v>
      </c>
      <c r="H10" s="124"/>
    </row>
    <row r="11" spans="1:8">
      <c r="A11" s="13"/>
      <c r="B11" s="14"/>
      <c r="C11" s="22"/>
      <c r="D11" s="169"/>
      <c r="E11" s="167"/>
      <c r="F11" s="119"/>
      <c r="G11" s="514"/>
      <c r="H11" s="124"/>
    </row>
    <row r="12" spans="1:8">
      <c r="A12" s="17"/>
      <c r="B12" s="12" t="s">
        <v>8</v>
      </c>
      <c r="C12" s="211" t="s">
        <v>9</v>
      </c>
      <c r="D12" s="170"/>
      <c r="E12" s="124"/>
      <c r="F12" s="146" t="s">
        <v>1</v>
      </c>
      <c r="G12" s="509"/>
      <c r="H12" s="124"/>
    </row>
    <row r="13" spans="1:8">
      <c r="A13" s="17"/>
      <c r="C13" s="124"/>
      <c r="D13" s="171"/>
      <c r="E13" s="124"/>
      <c r="G13" s="509"/>
      <c r="H13" s="124"/>
    </row>
    <row r="14" spans="1:8">
      <c r="A14" s="17"/>
      <c r="C14" s="211" t="s">
        <v>370</v>
      </c>
      <c r="D14" s="170"/>
      <c r="E14" s="168"/>
      <c r="F14" s="164"/>
      <c r="G14" s="509"/>
      <c r="H14" s="124"/>
    </row>
    <row r="15" spans="1:8">
      <c r="A15" s="17"/>
      <c r="C15" s="212" t="s">
        <v>379</v>
      </c>
      <c r="D15" s="187">
        <v>47155955181.580002</v>
      </c>
      <c r="E15" s="188">
        <f>'STATEMENT 2'!H12</f>
        <v>47200478898.809998</v>
      </c>
      <c r="F15" s="189">
        <f>'STATEMENT 2'!I12</f>
        <v>36894792355.589996</v>
      </c>
      <c r="G15" s="515">
        <f>'STATEMENT 2'!J12</f>
        <v>59246035025</v>
      </c>
      <c r="H15" s="124"/>
    </row>
    <row r="16" spans="1:8">
      <c r="A16" s="17"/>
      <c r="C16" s="212" t="s">
        <v>383</v>
      </c>
      <c r="D16" s="187">
        <v>168126337031</v>
      </c>
      <c r="E16" s="188">
        <f>'STATEMENT 2'!H13+'STATEMENT 2'!H14+'STATEMENT 2'!H15</f>
        <v>166511866961.87997</v>
      </c>
      <c r="F16" s="189">
        <f>'STATEMENT 2'!I13+'STATEMENT 2'!I14+'STATEMENT 2'!I15</f>
        <v>106767439864.25</v>
      </c>
      <c r="G16" s="515">
        <f>'STATEMENT 2'!J13+'STATEMENT 2'!J14+'STATEMENT 2'!J15</f>
        <v>189590797066.66998</v>
      </c>
      <c r="H16" s="124"/>
    </row>
    <row r="17" spans="1:8">
      <c r="A17" s="17"/>
      <c r="C17" s="212" t="s">
        <v>244</v>
      </c>
      <c r="D17" s="187">
        <v>8383249635</v>
      </c>
      <c r="E17" s="188">
        <f>'STATEMENT 2'!H16+'STATEMENT 2'!H17</f>
        <v>7453051806.3899994</v>
      </c>
      <c r="F17" s="189">
        <f>'STATEMENT 2'!I16+'STATEMENT 2'!I17</f>
        <v>6771076746.9699993</v>
      </c>
      <c r="G17" s="515">
        <f>'STATEMENT 2'!J16+'STATEMENT 2'!J17</f>
        <v>10081715475</v>
      </c>
      <c r="H17" s="124"/>
    </row>
    <row r="18" spans="1:8">
      <c r="A18" s="17"/>
      <c r="C18" s="212" t="s">
        <v>427</v>
      </c>
      <c r="D18" s="187">
        <v>4919511150</v>
      </c>
      <c r="E18" s="188">
        <f>'STATEMENT 2'!H18</f>
        <v>4745650759.6800003</v>
      </c>
      <c r="F18" s="189">
        <f>'STATEMENT 2'!I18</f>
        <v>3874334299.9699998</v>
      </c>
      <c r="G18" s="515">
        <f>'STATEMENT 2'!J18</f>
        <v>5132047500</v>
      </c>
      <c r="H18" s="124"/>
    </row>
    <row r="19" spans="1:8">
      <c r="A19" s="17"/>
      <c r="C19" s="212" t="s">
        <v>246</v>
      </c>
      <c r="D19" s="187">
        <v>357271451</v>
      </c>
      <c r="E19" s="188">
        <f>'STATEMENT 2'!H19+'STATEMENT 2'!H20+'STATEMENT 2'!H21+'STATEMENT 2'!H22+'STATEMENT 2'!H23+'STATEMENT 2'!H24</f>
        <v>610748119.03000021</v>
      </c>
      <c r="F19" s="189">
        <f>'STATEMENT 2'!I24+'STATEMENT 2'!I19+'STATEMENT 2'!I21+'STATEMENT 2'!I22+'STATEMENT 2'!I23</f>
        <v>167632627.91999999</v>
      </c>
      <c r="G19" s="515">
        <f>'STATEMENT 2'!J19+'STATEMENT 2'!J21+'STATEMENT 2'!J22+'STATEMENT 2'!J23+'STATEMENT 2'!J24</f>
        <v>273292022.79584938</v>
      </c>
      <c r="H19" s="124"/>
    </row>
    <row r="20" spans="1:8">
      <c r="A20" s="17"/>
      <c r="C20" s="212" t="s">
        <v>247</v>
      </c>
      <c r="D20" s="187">
        <v>22511840000</v>
      </c>
      <c r="E20" s="188">
        <f>'STATEMENT 2'!H25+'STATEMENT 2'!H26</f>
        <v>4880720000.4499998</v>
      </c>
      <c r="F20" s="189">
        <f>'STATEMENT 2'!I25+'STATEMENT 2'!I26</f>
        <v>11241213655.799999</v>
      </c>
      <c r="G20" s="515">
        <f>'STATEMENT 2'!J25+'STATEMENT 2'!J26</f>
        <v>15799100000</v>
      </c>
      <c r="H20" s="124"/>
    </row>
    <row r="21" spans="1:8">
      <c r="A21" s="17"/>
      <c r="C21" s="212" t="s">
        <v>248</v>
      </c>
      <c r="D21" s="187">
        <v>6730427194</v>
      </c>
      <c r="E21" s="188">
        <f>'STATEMENT 2'!H27</f>
        <v>7333722323.3999996</v>
      </c>
      <c r="F21" s="189">
        <f>'STATEMENT 2'!I27+'STATEMENT 2'!I20</f>
        <v>5739242912.1400003</v>
      </c>
      <c r="G21" s="515">
        <f>'STATEMENT 2'!J27+'STATEMENT 2'!J20</f>
        <v>9297036273.2041512</v>
      </c>
      <c r="H21" s="124"/>
    </row>
    <row r="22" spans="1:8">
      <c r="A22" s="17"/>
      <c r="C22" s="212" t="s">
        <v>249</v>
      </c>
      <c r="D22" s="187">
        <v>34449108535</v>
      </c>
      <c r="E22" s="188">
        <f>'STATEMENT 2'!H28</f>
        <v>34219754197.540001</v>
      </c>
      <c r="F22" s="189">
        <f>'STATEMENT 2'!I28</f>
        <v>24133065480.310001</v>
      </c>
      <c r="G22" s="515">
        <f>'STATEMENT 2'!J28</f>
        <v>36700287000</v>
      </c>
      <c r="H22" s="124"/>
    </row>
    <row r="23" spans="1:8">
      <c r="A23" s="17"/>
      <c r="C23" s="212" t="s">
        <v>253</v>
      </c>
      <c r="D23" s="187">
        <v>2463060887</v>
      </c>
      <c r="E23" s="188">
        <f>'STATEMENT 2'!H29</f>
        <v>2119444443.3199999</v>
      </c>
      <c r="F23" s="189">
        <f>'STATEMENT 2'!I29</f>
        <v>1537099570.6400001</v>
      </c>
      <c r="G23" s="515">
        <f>'STATEMENT 2'!J29</f>
        <v>2540120700</v>
      </c>
      <c r="H23" s="124"/>
    </row>
    <row r="24" spans="1:8">
      <c r="A24" s="17"/>
      <c r="C24" s="212" t="s">
        <v>342</v>
      </c>
      <c r="D24" s="187">
        <v>213686340352</v>
      </c>
      <c r="E24" s="188">
        <f>'STATEMENT 2'!H30+'STATEMENT 2'!H31</f>
        <v>203317336613.88</v>
      </c>
      <c r="F24" s="189">
        <f>'STATEMENT 2'!I30+'STATEMENT 2'!I31</f>
        <v>149945651365.21002</v>
      </c>
      <c r="G24" s="515">
        <f>'STATEMENT 2'!J30+'STATEMENT 2'!J31</f>
        <v>237587065800</v>
      </c>
      <c r="H24" s="124"/>
    </row>
    <row r="25" spans="1:8">
      <c r="A25" s="17"/>
      <c r="C25" s="212" t="s">
        <v>343</v>
      </c>
      <c r="D25" s="187">
        <v>83348268721</v>
      </c>
      <c r="E25" s="188">
        <f>'STATEMENT 2'!H32+'STATEMENT 2'!H33</f>
        <v>83987786400</v>
      </c>
      <c r="F25" s="189">
        <f>'STATEMENT 2'!I32+'STATEMENT 2'!I33</f>
        <v>60941996846.68</v>
      </c>
      <c r="G25" s="515">
        <f>'STATEMENT 2'!J32+'STATEMENT 2'!J33</f>
        <v>92072800000</v>
      </c>
      <c r="H25" s="124"/>
    </row>
    <row r="26" spans="1:8">
      <c r="A26" s="17"/>
      <c r="C26" s="212" t="s">
        <v>344</v>
      </c>
      <c r="D26" s="187">
        <v>4443289942</v>
      </c>
      <c r="E26" s="188">
        <f>'STATEMENT 2'!H34+'STATEMENT 2'!H35</f>
        <v>4214401525.4300003</v>
      </c>
      <c r="F26" s="189">
        <f>'STATEMENT 2'!I34+'STATEMENT 2'!I35</f>
        <v>3753997379</v>
      </c>
      <c r="G26" s="515">
        <f>'STATEMENT 2'!J34+'STATEMENT 2'!J35</f>
        <v>5490770000</v>
      </c>
      <c r="H26" s="124"/>
    </row>
    <row r="27" spans="1:8">
      <c r="A27" s="17"/>
      <c r="C27" s="212" t="s">
        <v>250</v>
      </c>
      <c r="D27" s="187">
        <v>2510240000</v>
      </c>
      <c r="E27" s="188">
        <f>'STATEMENT 2'!H36</f>
        <v>3354650876</v>
      </c>
      <c r="F27" s="189">
        <f>'STATEMENT 2'!I36</f>
        <v>2572484863.4499998</v>
      </c>
      <c r="G27" s="515">
        <f>'STATEMENT 2'!J36</f>
        <v>3219695000</v>
      </c>
      <c r="H27" s="124"/>
    </row>
    <row r="28" spans="1:8">
      <c r="A28" s="17"/>
      <c r="C28" s="212" t="s">
        <v>350</v>
      </c>
      <c r="D28" s="187">
        <v>3115380908</v>
      </c>
      <c r="E28" s="188">
        <f>'STATEMENT 2'!H37</f>
        <v>645600000</v>
      </c>
      <c r="F28" s="189">
        <f>'STATEMENT 2'!I37</f>
        <v>1561850518.1099999</v>
      </c>
      <c r="G28" s="515">
        <f>'STATEMENT 2'!J37</f>
        <v>2577234700</v>
      </c>
      <c r="H28" s="124"/>
    </row>
    <row r="29" spans="1:8">
      <c r="A29" s="17"/>
      <c r="C29" s="212" t="s">
        <v>18</v>
      </c>
      <c r="D29" s="187">
        <v>0</v>
      </c>
      <c r="E29" s="188">
        <f>'STATEMENT 2'!H38</f>
        <v>0</v>
      </c>
      <c r="F29" s="189">
        <f>'STATEMENT 2'!I38</f>
        <v>106930073.13</v>
      </c>
      <c r="G29" s="515">
        <f>'STATEMENT 2'!J38</f>
        <v>0</v>
      </c>
      <c r="H29" s="124"/>
    </row>
    <row r="30" spans="1:8">
      <c r="A30" s="17"/>
      <c r="C30" s="212" t="s">
        <v>121</v>
      </c>
      <c r="D30" s="187">
        <v>84215326</v>
      </c>
      <c r="E30" s="188">
        <f>'STATEMENT 2'!H39</f>
        <v>84185845.890000001</v>
      </c>
      <c r="F30" s="189">
        <f>'STATEMENT 2'!I39</f>
        <v>56873881.259999998</v>
      </c>
      <c r="G30" s="515">
        <f>'STATEMENT 2'!J39</f>
        <v>75600000</v>
      </c>
      <c r="H30" s="124"/>
    </row>
    <row r="31" spans="1:8">
      <c r="A31" s="17"/>
      <c r="C31" s="212" t="s">
        <v>251</v>
      </c>
      <c r="D31" s="187">
        <v>345294000</v>
      </c>
      <c r="E31" s="188">
        <f>'STATEMENT 2'!H40</f>
        <v>304929988</v>
      </c>
      <c r="F31" s="189">
        <f>'STATEMENT 2'!I40</f>
        <v>231658427.03999999</v>
      </c>
      <c r="G31" s="515">
        <f>'STATEMENT 2'!J40</f>
        <v>323848704</v>
      </c>
      <c r="H31" s="124"/>
    </row>
    <row r="32" spans="1:8">
      <c r="A32" s="17"/>
      <c r="C32" s="212" t="s">
        <v>252</v>
      </c>
      <c r="D32" s="190">
        <v>1155435179</v>
      </c>
      <c r="E32" s="188">
        <f>'STATEMENT 2'!H41</f>
        <v>1476960000</v>
      </c>
      <c r="F32" s="189">
        <f>'STATEMENT 2'!I41</f>
        <v>1732556339.55</v>
      </c>
      <c r="G32" s="515">
        <f>'STATEMENT 2'!J41</f>
        <v>1528653600</v>
      </c>
      <c r="H32" s="124"/>
    </row>
    <row r="33" spans="1:9">
      <c r="A33" s="17"/>
      <c r="C33" s="211" t="s">
        <v>188</v>
      </c>
      <c r="D33" s="180">
        <f>SUM(D15:D32)</f>
        <v>603785225492.58008</v>
      </c>
      <c r="E33" s="179">
        <f>SUM(E15:E32)</f>
        <v>572461288759.69995</v>
      </c>
      <c r="F33" s="180">
        <f>SUM(F15:F32)</f>
        <v>418029897207.02002</v>
      </c>
      <c r="G33" s="516">
        <f>SUM(G15:G32)</f>
        <v>671536098866.66992</v>
      </c>
      <c r="H33" s="217"/>
    </row>
    <row r="34" spans="1:9">
      <c r="A34" s="17"/>
      <c r="C34" s="124"/>
      <c r="D34" s="187"/>
      <c r="E34" s="191"/>
      <c r="F34" s="189"/>
      <c r="G34" s="515"/>
      <c r="H34" s="124"/>
    </row>
    <row r="35" spans="1:9">
      <c r="A35" s="17"/>
      <c r="C35" s="124"/>
      <c r="D35" s="192"/>
      <c r="E35" s="191"/>
      <c r="F35" s="189"/>
      <c r="G35" s="515"/>
      <c r="H35" s="124"/>
    </row>
    <row r="36" spans="1:9">
      <c r="A36" s="17"/>
      <c r="B36" s="12" t="s">
        <v>146</v>
      </c>
      <c r="C36" s="211" t="s">
        <v>371</v>
      </c>
      <c r="D36" s="193">
        <f>'STATEMENT 2'!G440</f>
        <v>66498900000</v>
      </c>
      <c r="E36" s="453">
        <f>'STATEMENT 2'!H440</f>
        <v>94185200000.422195</v>
      </c>
      <c r="F36" s="189">
        <f>'STATEMENT 2'!I440</f>
        <v>64392654677.370003</v>
      </c>
      <c r="G36" s="515">
        <f>'STATEMENT 2'!J440</f>
        <v>65398700000.110001</v>
      </c>
      <c r="H36" s="124"/>
    </row>
    <row r="37" spans="1:9">
      <c r="A37" s="17"/>
      <c r="C37" s="212" t="s">
        <v>510</v>
      </c>
      <c r="D37" s="192">
        <v>0</v>
      </c>
      <c r="E37" s="191"/>
      <c r="F37" s="189"/>
      <c r="G37" s="515"/>
      <c r="H37" s="124"/>
    </row>
    <row r="38" spans="1:9" ht="13.5" thickBot="1">
      <c r="A38" s="17"/>
      <c r="C38" s="124"/>
      <c r="D38" s="192"/>
      <c r="E38" s="191"/>
      <c r="F38" s="189"/>
      <c r="G38" s="515"/>
      <c r="H38" s="124"/>
    </row>
    <row r="39" spans="1:9" ht="13.5" thickBot="1">
      <c r="A39" s="17"/>
      <c r="C39" s="211" t="s">
        <v>372</v>
      </c>
      <c r="D39" s="194">
        <f>D33+D36</f>
        <v>670284125492.58008</v>
      </c>
      <c r="E39" s="454">
        <f>E33+E36</f>
        <v>666646488760.12219</v>
      </c>
      <c r="F39" s="195">
        <f>F33+F36</f>
        <v>482422551884.39001</v>
      </c>
      <c r="G39" s="517">
        <f>G33+G36</f>
        <v>736934798866.77991</v>
      </c>
      <c r="H39" s="217"/>
    </row>
    <row r="40" spans="1:9">
      <c r="A40" s="17"/>
      <c r="C40" s="124"/>
      <c r="D40" s="187"/>
      <c r="E40" s="191"/>
      <c r="F40" s="189"/>
      <c r="G40" s="515"/>
      <c r="H40" s="124"/>
    </row>
    <row r="41" spans="1:9">
      <c r="A41" s="17"/>
      <c r="B41" s="12" t="s">
        <v>152</v>
      </c>
      <c r="C41" s="211" t="s">
        <v>311</v>
      </c>
      <c r="D41" s="196"/>
      <c r="E41" s="191"/>
      <c r="F41" s="189"/>
      <c r="G41" s="515"/>
      <c r="H41" s="124"/>
    </row>
    <row r="42" spans="1:9">
      <c r="A42" s="17"/>
      <c r="C42" s="212" t="s">
        <v>428</v>
      </c>
      <c r="D42" s="197">
        <f>'STATEMENT 2'!G447</f>
        <v>214421773</v>
      </c>
      <c r="E42" s="197">
        <f>'STATEMENT 2'!H447</f>
        <v>0</v>
      </c>
      <c r="F42" s="197">
        <f>'STATEMENT 2'!I447</f>
        <v>0</v>
      </c>
      <c r="G42" s="518">
        <f>'STATEMENT 2'!J447</f>
        <v>0</v>
      </c>
      <c r="H42" s="124"/>
    </row>
    <row r="43" spans="1:9">
      <c r="A43" s="17"/>
      <c r="C43" s="212" t="s">
        <v>429</v>
      </c>
      <c r="D43" s="197">
        <f>'STATEMENT 2'!G451</f>
        <v>121578227</v>
      </c>
      <c r="E43" s="197">
        <f>'STATEMENT 2'!H451</f>
        <v>96419057.049999997</v>
      </c>
      <c r="F43" s="197">
        <f>'STATEMENT 2'!I451</f>
        <v>875752279.95000005</v>
      </c>
      <c r="G43" s="518">
        <f>'STATEMENT 2'!J451</f>
        <v>1477000000</v>
      </c>
      <c r="H43" s="124"/>
    </row>
    <row r="44" spans="1:9">
      <c r="A44" s="17"/>
      <c r="C44" s="212" t="s">
        <v>460</v>
      </c>
      <c r="D44" s="197">
        <f>'STATEMENT 2'!G457</f>
        <v>8193000000</v>
      </c>
      <c r="E44" s="455">
        <f>'STATEMENT 2'!H457</f>
        <v>4348700000</v>
      </c>
      <c r="F44" s="197">
        <f>'STATEMENT 2'!I457</f>
        <v>0</v>
      </c>
      <c r="G44" s="518">
        <f>'STATEMENT 2'!J457</f>
        <v>32514600000</v>
      </c>
      <c r="H44" s="124"/>
    </row>
    <row r="45" spans="1:9">
      <c r="A45" s="17"/>
      <c r="C45" s="124"/>
      <c r="D45" s="197"/>
      <c r="E45" s="191"/>
      <c r="F45" s="189"/>
      <c r="G45" s="515"/>
      <c r="H45" s="124"/>
    </row>
    <row r="46" spans="1:9">
      <c r="A46" s="17"/>
      <c r="C46" s="211" t="s">
        <v>151</v>
      </c>
      <c r="D46" s="198">
        <f>D42+D43+D44</f>
        <v>8529000000</v>
      </c>
      <c r="E46" s="179">
        <f>SUM(E42:E45)</f>
        <v>4445119057.0500002</v>
      </c>
      <c r="F46" s="180">
        <f>SUM(F42:F45)</f>
        <v>875752279.95000005</v>
      </c>
      <c r="G46" s="516">
        <f>SUM(G42:G45)</f>
        <v>33991600000</v>
      </c>
      <c r="H46" s="217"/>
    </row>
    <row r="47" spans="1:9">
      <c r="A47" s="17"/>
      <c r="C47" s="124"/>
      <c r="D47" s="187"/>
      <c r="E47" s="191"/>
      <c r="F47" s="189"/>
      <c r="G47" s="515"/>
      <c r="H47" s="124"/>
      <c r="I47" s="12" t="s">
        <v>1</v>
      </c>
    </row>
    <row r="48" spans="1:9">
      <c r="A48" s="17"/>
      <c r="C48" s="211" t="s">
        <v>373</v>
      </c>
      <c r="D48" s="194">
        <f>D39+D46</f>
        <v>678813125492.58008</v>
      </c>
      <c r="E48" s="179">
        <f>E46+E39</f>
        <v>671091607817.17224</v>
      </c>
      <c r="F48" s="180">
        <f>F46+F39</f>
        <v>483298304164.34003</v>
      </c>
      <c r="G48" s="516">
        <f>G46+G39</f>
        <v>770926398866.77991</v>
      </c>
      <c r="H48" s="217"/>
    </row>
    <row r="49" spans="1:9" ht="14.25" customHeight="1">
      <c r="A49" s="17"/>
      <c r="C49" s="211"/>
      <c r="D49" s="196"/>
      <c r="E49" s="199"/>
      <c r="F49" s="200"/>
      <c r="G49" s="519"/>
      <c r="H49" s="124"/>
    </row>
    <row r="50" spans="1:9">
      <c r="A50" s="17"/>
      <c r="C50" s="124"/>
      <c r="D50" s="187"/>
      <c r="E50" s="191"/>
      <c r="F50" s="189"/>
      <c r="G50" s="515"/>
      <c r="H50" s="124"/>
    </row>
    <row r="51" spans="1:9">
      <c r="A51" s="17"/>
      <c r="B51" s="12" t="s">
        <v>155</v>
      </c>
      <c r="C51" s="213" t="s">
        <v>436</v>
      </c>
      <c r="D51" s="201"/>
      <c r="E51" s="191"/>
      <c r="F51" s="189"/>
      <c r="G51" s="515"/>
      <c r="H51" s="124"/>
    </row>
    <row r="52" spans="1:9">
      <c r="A52" s="17"/>
      <c r="B52" s="12" t="s">
        <v>461</v>
      </c>
      <c r="C52" s="214" t="s">
        <v>321</v>
      </c>
      <c r="D52" s="202"/>
      <c r="E52" s="191"/>
      <c r="F52" s="189"/>
      <c r="G52" s="515"/>
      <c r="H52" s="124"/>
    </row>
    <row r="53" spans="1:9">
      <c r="A53" s="17"/>
      <c r="C53" s="215" t="s">
        <v>462</v>
      </c>
      <c r="D53" s="203">
        <f>'STATEMENT 2'!G463</f>
        <v>135700000</v>
      </c>
      <c r="E53" s="203">
        <f>'STATEMENT 2'!H463</f>
        <v>148700000</v>
      </c>
      <c r="F53" s="203" t="str">
        <f>'STATEMENT 2'!I463</f>
        <v xml:space="preserve">                                                                </v>
      </c>
      <c r="G53" s="520">
        <f>'STATEMENT 2'!J463</f>
        <v>4908300000</v>
      </c>
      <c r="H53" s="124"/>
    </row>
    <row r="54" spans="1:9">
      <c r="A54" s="17"/>
      <c r="C54" s="215" t="s">
        <v>463</v>
      </c>
      <c r="D54" s="203">
        <f>'STATEMENT 2'!G464</f>
        <v>0</v>
      </c>
      <c r="E54" s="203">
        <f>'STATEMENT 2'!H464</f>
        <v>0</v>
      </c>
      <c r="F54" s="203" t="str">
        <f>'STATEMENT 2'!I464</f>
        <v xml:space="preserve"> </v>
      </c>
      <c r="G54" s="520">
        <f>'STATEMENT 2'!J464</f>
        <v>0</v>
      </c>
      <c r="H54" s="124"/>
    </row>
    <row r="55" spans="1:9">
      <c r="A55" s="17"/>
      <c r="C55" s="215" t="s">
        <v>17</v>
      </c>
      <c r="D55" s="203">
        <f>'STATEMENT 2'!G465</f>
        <v>0</v>
      </c>
      <c r="E55" s="203">
        <f>'STATEMENT 2'!H465</f>
        <v>0</v>
      </c>
      <c r="F55" s="203" t="str">
        <f>'STATEMENT 2'!I465</f>
        <v xml:space="preserve"> </v>
      </c>
      <c r="G55" s="520">
        <f>'STATEMENT 2'!J465</f>
        <v>0</v>
      </c>
      <c r="H55" s="124"/>
    </row>
    <row r="56" spans="1:9">
      <c r="A56" s="17"/>
      <c r="C56" s="215"/>
      <c r="D56" s="203"/>
      <c r="E56" s="203"/>
      <c r="F56" s="203"/>
      <c r="G56" s="520"/>
      <c r="H56" s="124"/>
    </row>
    <row r="57" spans="1:9">
      <c r="A57" s="17"/>
      <c r="B57" s="12" t="s">
        <v>464</v>
      </c>
      <c r="C57" s="214" t="s">
        <v>456</v>
      </c>
      <c r="D57" s="202"/>
      <c r="E57" s="202"/>
      <c r="F57" s="202"/>
      <c r="G57" s="521"/>
      <c r="H57" s="217"/>
    </row>
    <row r="58" spans="1:9">
      <c r="A58" s="17"/>
      <c r="C58" s="121" t="s">
        <v>148</v>
      </c>
      <c r="D58" s="204">
        <f>'STATEMENT 2'!G469</f>
        <v>0</v>
      </c>
      <c r="E58" s="204">
        <f>'STATEMENT 2'!H469</f>
        <v>2816000000</v>
      </c>
      <c r="F58" s="204">
        <f>'STATEMENT 2'!I469</f>
        <v>730862725</v>
      </c>
      <c r="G58" s="522">
        <f>'STATEMENT 2'!J469</f>
        <v>0</v>
      </c>
      <c r="H58" s="124"/>
    </row>
    <row r="59" spans="1:9">
      <c r="A59" s="17"/>
      <c r="C59" s="121" t="s">
        <v>465</v>
      </c>
      <c r="D59" s="204">
        <f>'STATEMENT 2'!G470</f>
        <v>2987000000</v>
      </c>
      <c r="E59" s="204">
        <f>'STATEMENT 2'!H470</f>
        <v>2960800000</v>
      </c>
      <c r="F59" s="204">
        <f>'STATEMENT 2'!I470</f>
        <v>0</v>
      </c>
      <c r="G59" s="522">
        <f>'STATEMENT 2'!J470</f>
        <v>6459981000</v>
      </c>
      <c r="H59" s="124"/>
    </row>
    <row r="60" spans="1:9">
      <c r="A60" s="17"/>
      <c r="C60" s="121" t="s">
        <v>149</v>
      </c>
      <c r="D60" s="204">
        <f>'STATEMENT 2'!G471</f>
        <v>1350323510</v>
      </c>
      <c r="E60" s="204">
        <f>'STATEMENT 2'!H471</f>
        <v>0</v>
      </c>
      <c r="F60" s="204">
        <f>'STATEMENT 2'!I471</f>
        <v>4103523488.5500002</v>
      </c>
      <c r="G60" s="522">
        <f>'STATEMENT 2'!J471</f>
        <v>0</v>
      </c>
      <c r="H60" s="124"/>
    </row>
    <row r="61" spans="1:9">
      <c r="A61" s="17"/>
      <c r="C61" s="213" t="s">
        <v>459</v>
      </c>
      <c r="D61" s="205">
        <f>SUM(D53:D60)</f>
        <v>4473023510</v>
      </c>
      <c r="E61" s="179">
        <f>SUM(E53:E60)</f>
        <v>5925500000</v>
      </c>
      <c r="F61" s="206">
        <f>SUM(F53:F60)</f>
        <v>4834386213.5500002</v>
      </c>
      <c r="G61" s="523">
        <f>SUM(G53:G60)</f>
        <v>11368281000</v>
      </c>
      <c r="H61" s="124"/>
    </row>
    <row r="62" spans="1:9">
      <c r="A62" s="17"/>
      <c r="C62" s="213"/>
      <c r="D62" s="201"/>
      <c r="E62" s="207"/>
      <c r="F62" s="208"/>
      <c r="G62" s="524"/>
      <c r="H62" s="217"/>
    </row>
    <row r="63" spans="1:9">
      <c r="A63" s="17"/>
      <c r="B63" s="12" t="s">
        <v>466</v>
      </c>
      <c r="C63" s="213" t="s">
        <v>156</v>
      </c>
      <c r="D63" s="201"/>
      <c r="E63" s="191"/>
      <c r="F63" s="189"/>
      <c r="G63" s="515"/>
      <c r="H63" s="124"/>
      <c r="I63" s="120"/>
    </row>
    <row r="64" spans="1:9">
      <c r="A64" s="17"/>
      <c r="C64" s="215" t="s">
        <v>467</v>
      </c>
      <c r="D64" s="203">
        <f>'STATEMENT 2'!G518</f>
        <v>143602930000</v>
      </c>
      <c r="E64" s="203">
        <f>'STATEMENT 2'!H518</f>
        <v>130305600000</v>
      </c>
      <c r="F64" s="203">
        <f>'STATEMENT 2'!I518</f>
        <v>103702089841.44</v>
      </c>
      <c r="G64" s="520">
        <f>'STATEMENT 2'!J518</f>
        <v>124130100000</v>
      </c>
      <c r="H64" s="124"/>
    </row>
    <row r="65" spans="1:9">
      <c r="A65" s="17"/>
      <c r="C65" s="5"/>
      <c r="D65" s="203"/>
      <c r="E65" s="191"/>
      <c r="F65" s="189"/>
      <c r="G65" s="515"/>
      <c r="H65" s="124"/>
    </row>
    <row r="66" spans="1:9">
      <c r="A66" s="17"/>
      <c r="C66" s="213" t="s">
        <v>183</v>
      </c>
      <c r="D66" s="209">
        <f>D64</f>
        <v>143602930000</v>
      </c>
      <c r="E66" s="209">
        <f>E64</f>
        <v>130305600000</v>
      </c>
      <c r="F66" s="209">
        <f>F64</f>
        <v>103702089841.44</v>
      </c>
      <c r="G66" s="525">
        <f>G64</f>
        <v>124130100000</v>
      </c>
      <c r="H66" s="124"/>
    </row>
    <row r="67" spans="1:9">
      <c r="A67" s="17"/>
      <c r="C67" s="5"/>
      <c r="D67" s="210"/>
      <c r="E67" s="191"/>
      <c r="F67" s="189"/>
      <c r="G67" s="515"/>
      <c r="H67" s="124"/>
    </row>
    <row r="68" spans="1:9">
      <c r="A68" s="17"/>
      <c r="C68" s="213" t="s">
        <v>374</v>
      </c>
      <c r="D68" s="209">
        <f>D48+D61+D66</f>
        <v>826889079002.58008</v>
      </c>
      <c r="E68" s="456">
        <f>E66+E61+E48</f>
        <v>807322707817.17224</v>
      </c>
      <c r="F68" s="180">
        <f>F66+F61+F48</f>
        <v>591834780219.33008</v>
      </c>
      <c r="G68" s="516">
        <f>G66+G61+G48</f>
        <v>906424779866.77991</v>
      </c>
      <c r="H68" s="124">
        <v>906424779867</v>
      </c>
    </row>
    <row r="69" spans="1:9">
      <c r="A69" s="17"/>
      <c r="C69" s="23"/>
      <c r="D69" s="23"/>
      <c r="E69" s="216"/>
      <c r="F69" s="124"/>
      <c r="G69" s="526"/>
    </row>
    <row r="70" spans="1:9">
      <c r="A70" s="17"/>
      <c r="C70" s="23"/>
      <c r="D70" s="23"/>
      <c r="E70" s="216"/>
      <c r="F70" s="216"/>
      <c r="G70" s="526"/>
    </row>
    <row r="71" spans="1:9">
      <c r="A71" s="17"/>
      <c r="C71" s="23"/>
      <c r="D71" s="23"/>
      <c r="E71" s="216"/>
      <c r="F71" s="216"/>
      <c r="G71" s="526"/>
    </row>
    <row r="72" spans="1:9">
      <c r="A72" s="17"/>
      <c r="C72" s="23"/>
      <c r="D72" s="23"/>
      <c r="E72" s="216"/>
      <c r="F72" s="216"/>
      <c r="G72" s="526"/>
    </row>
    <row r="73" spans="1:9">
      <c r="A73" s="17"/>
      <c r="C73" s="23" t="s">
        <v>189</v>
      </c>
      <c r="D73" s="23"/>
      <c r="E73" s="216"/>
      <c r="F73" s="216"/>
      <c r="G73" s="526"/>
    </row>
    <row r="74" spans="1:9">
      <c r="A74" s="19"/>
      <c r="B74" s="20"/>
      <c r="C74" s="218"/>
      <c r="D74" s="218"/>
      <c r="E74" s="219"/>
      <c r="F74" s="219"/>
      <c r="G74" s="527"/>
    </row>
    <row r="75" spans="1:9">
      <c r="C75" s="23"/>
      <c r="D75" s="23"/>
      <c r="E75" s="123"/>
      <c r="F75" s="120"/>
    </row>
    <row r="76" spans="1:9">
      <c r="C76" s="23"/>
      <c r="D76" s="23"/>
      <c r="E76" s="123"/>
      <c r="F76" s="120"/>
    </row>
    <row r="77" spans="1:9">
      <c r="C77" s="23"/>
      <c r="D77" s="23"/>
      <c r="E77" s="123"/>
      <c r="F77" s="120"/>
    </row>
    <row r="78" spans="1:9">
      <c r="C78" s="12"/>
      <c r="D78" s="12"/>
      <c r="E78" s="123"/>
      <c r="F78" s="120"/>
    </row>
    <row r="79" spans="1:9">
      <c r="C79" s="23"/>
      <c r="D79" s="23"/>
      <c r="E79" s="123"/>
      <c r="F79" s="120"/>
    </row>
    <row r="80" spans="1:9">
      <c r="C80" s="24"/>
      <c r="D80" s="24"/>
      <c r="F80" s="144"/>
      <c r="G80" s="529"/>
      <c r="I80" s="16"/>
    </row>
    <row r="81" spans="3:9">
      <c r="C81" s="24"/>
      <c r="D81" s="24"/>
      <c r="G81" s="529"/>
      <c r="I81" s="16"/>
    </row>
    <row r="83" spans="3:9">
      <c r="I83" s="16"/>
    </row>
    <row r="84" spans="3:9">
      <c r="I84" s="16"/>
    </row>
    <row r="90" spans="3:9">
      <c r="E90" s="145"/>
      <c r="F90" s="144"/>
      <c r="G90" s="530"/>
      <c r="H90" s="11"/>
    </row>
    <row r="91" spans="3:9">
      <c r="E91" s="145"/>
      <c r="F91" s="144"/>
      <c r="G91" s="530"/>
      <c r="H91" s="11"/>
    </row>
    <row r="92" spans="3:9">
      <c r="E92" s="145"/>
      <c r="F92" s="144"/>
      <c r="G92" s="530"/>
      <c r="H92" s="11"/>
    </row>
    <row r="93" spans="3:9">
      <c r="E93" s="145"/>
      <c r="F93" s="144"/>
      <c r="G93" s="530"/>
      <c r="H93" s="11"/>
    </row>
    <row r="94" spans="3:9">
      <c r="E94" s="145"/>
      <c r="F94" s="144"/>
      <c r="G94" s="530"/>
      <c r="H94" s="11"/>
    </row>
    <row r="95" spans="3:9">
      <c r="E95" s="145"/>
      <c r="F95" s="144"/>
      <c r="G95" s="530"/>
      <c r="H95" s="11"/>
    </row>
    <row r="96" spans="3:9">
      <c r="E96" s="145"/>
      <c r="F96" s="144"/>
      <c r="G96" s="530"/>
      <c r="H96" s="11"/>
    </row>
    <row r="97" spans="4:8">
      <c r="E97" s="145"/>
      <c r="F97" s="144"/>
      <c r="G97" s="530"/>
      <c r="H97" s="11"/>
    </row>
    <row r="98" spans="4:8">
      <c r="E98" s="145"/>
      <c r="F98" s="144"/>
      <c r="G98" s="530"/>
      <c r="H98" s="11"/>
    </row>
    <row r="99" spans="4:8">
      <c r="E99" s="145"/>
      <c r="F99" s="144"/>
      <c r="G99" s="530"/>
      <c r="H99" s="11"/>
    </row>
    <row r="100" spans="4:8">
      <c r="E100" s="145"/>
      <c r="F100" s="144"/>
      <c r="G100" s="530"/>
      <c r="H100" s="11"/>
    </row>
    <row r="101" spans="4:8">
      <c r="D101" s="23"/>
      <c r="E101" s="145"/>
      <c r="F101" s="144"/>
      <c r="G101" s="530"/>
      <c r="H101" s="11"/>
    </row>
  </sheetData>
  <mergeCells count="5">
    <mergeCell ref="A1:G1"/>
    <mergeCell ref="A2:G2"/>
    <mergeCell ref="A3:G3"/>
    <mergeCell ref="A4:G4"/>
    <mergeCell ref="A7:C7"/>
  </mergeCells>
  <printOptions horizontalCentered="1"/>
  <pageMargins left="0.27559055118110237" right="0.27559055118110237" top="0.35433070866141736" bottom="0.55118110236220474" header="0.19685039370078741" footer="0.15748031496062992"/>
  <pageSetup scale="75" orientation="portrait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793"/>
  <sheetViews>
    <sheetView topLeftCell="F1" zoomScaleNormal="100" workbookViewId="0">
      <pane ySplit="8" topLeftCell="A531" activePane="bottomLeft" state="frozen"/>
      <selection pane="bottomLeft" activeCell="J544" sqref="J544"/>
    </sheetView>
  </sheetViews>
  <sheetFormatPr defaultRowHeight="12.75"/>
  <cols>
    <col min="1" max="1" width="8.42578125" style="128" hidden="1" customWidth="1"/>
    <col min="2" max="2" width="5.42578125" style="129" hidden="1" customWidth="1"/>
    <col min="3" max="4" width="4.42578125" style="129" hidden="1" customWidth="1"/>
    <col min="5" max="5" width="9.85546875" style="129" hidden="1" customWidth="1"/>
    <col min="6" max="6" width="39.42578125" style="259" customWidth="1"/>
    <col min="7" max="7" width="15.85546875" style="126" bestFit="1" customWidth="1"/>
    <col min="8" max="8" width="17" style="163" bestFit="1" customWidth="1"/>
    <col min="9" max="9" width="18.42578125" style="163" bestFit="1" customWidth="1"/>
    <col min="10" max="10" width="21" style="568" bestFit="1" customWidth="1"/>
    <col min="11" max="11" width="15.85546875" style="163" customWidth="1"/>
    <col min="12" max="12" width="9.85546875" style="6" hidden="1" customWidth="1"/>
    <col min="13" max="13" width="15.28515625" style="4" hidden="1" customWidth="1"/>
    <col min="14" max="14" width="0.140625" style="1" hidden="1" customWidth="1"/>
    <col min="15" max="15" width="18.85546875" style="1" hidden="1" customWidth="1"/>
    <col min="16" max="16" width="19.140625" style="5" hidden="1" customWidth="1"/>
    <col min="17" max="17" width="27" style="1" hidden="1" customWidth="1"/>
    <col min="18" max="18" width="16.28515625" style="1" customWidth="1"/>
    <col min="19" max="19" width="9.140625" style="1"/>
    <col min="20" max="20" width="16.85546875" style="1" customWidth="1"/>
    <col min="21" max="261" width="9.140625" style="1"/>
    <col min="262" max="262" width="1.140625" style="1" customWidth="1"/>
    <col min="263" max="263" width="2.7109375" style="1" customWidth="1"/>
    <col min="264" max="264" width="40.42578125" style="1" customWidth="1"/>
    <col min="265" max="266" width="18.42578125" style="1" customWidth="1"/>
    <col min="267" max="267" width="18.85546875" style="1" customWidth="1"/>
    <col min="268" max="268" width="18.28515625" style="1" customWidth="1"/>
    <col min="269" max="269" width="17.140625" style="1" customWidth="1"/>
    <col min="270" max="270" width="9.140625" style="1"/>
    <col min="271" max="271" width="22" style="1" customWidth="1"/>
    <col min="272" max="272" width="20.28515625" style="1" customWidth="1"/>
    <col min="273" max="273" width="14.85546875" style="1" customWidth="1"/>
    <col min="274" max="274" width="21.28515625" style="1" customWidth="1"/>
    <col min="275" max="517" width="9.140625" style="1"/>
    <col min="518" max="518" width="1.140625" style="1" customWidth="1"/>
    <col min="519" max="519" width="2.7109375" style="1" customWidth="1"/>
    <col min="520" max="520" width="40.42578125" style="1" customWidth="1"/>
    <col min="521" max="522" width="18.42578125" style="1" customWidth="1"/>
    <col min="523" max="523" width="18.85546875" style="1" customWidth="1"/>
    <col min="524" max="524" width="18.28515625" style="1" customWidth="1"/>
    <col min="525" max="525" width="17.140625" style="1" customWidth="1"/>
    <col min="526" max="526" width="9.140625" style="1"/>
    <col min="527" max="527" width="22" style="1" customWidth="1"/>
    <col min="528" max="528" width="20.28515625" style="1" customWidth="1"/>
    <col min="529" max="529" width="14.85546875" style="1" customWidth="1"/>
    <col min="530" max="530" width="21.28515625" style="1" customWidth="1"/>
    <col min="531" max="773" width="9.140625" style="1"/>
    <col min="774" max="774" width="1.140625" style="1" customWidth="1"/>
    <col min="775" max="775" width="2.7109375" style="1" customWidth="1"/>
    <col min="776" max="776" width="40.42578125" style="1" customWidth="1"/>
    <col min="777" max="778" width="18.42578125" style="1" customWidth="1"/>
    <col min="779" max="779" width="18.85546875" style="1" customWidth="1"/>
    <col min="780" max="780" width="18.28515625" style="1" customWidth="1"/>
    <col min="781" max="781" width="17.140625" style="1" customWidth="1"/>
    <col min="782" max="782" width="9.140625" style="1"/>
    <col min="783" max="783" width="22" style="1" customWidth="1"/>
    <col min="784" max="784" width="20.28515625" style="1" customWidth="1"/>
    <col min="785" max="785" width="14.85546875" style="1" customWidth="1"/>
    <col min="786" max="786" width="21.28515625" style="1" customWidth="1"/>
    <col min="787" max="1029" width="9.140625" style="1"/>
    <col min="1030" max="1030" width="1.140625" style="1" customWidth="1"/>
    <col min="1031" max="1031" width="2.7109375" style="1" customWidth="1"/>
    <col min="1032" max="1032" width="40.42578125" style="1" customWidth="1"/>
    <col min="1033" max="1034" width="18.42578125" style="1" customWidth="1"/>
    <col min="1035" max="1035" width="18.85546875" style="1" customWidth="1"/>
    <col min="1036" max="1036" width="18.28515625" style="1" customWidth="1"/>
    <col min="1037" max="1037" width="17.140625" style="1" customWidth="1"/>
    <col min="1038" max="1038" width="9.140625" style="1"/>
    <col min="1039" max="1039" width="22" style="1" customWidth="1"/>
    <col min="1040" max="1040" width="20.28515625" style="1" customWidth="1"/>
    <col min="1041" max="1041" width="14.85546875" style="1" customWidth="1"/>
    <col min="1042" max="1042" width="21.28515625" style="1" customWidth="1"/>
    <col min="1043" max="1285" width="9.140625" style="1"/>
    <col min="1286" max="1286" width="1.140625" style="1" customWidth="1"/>
    <col min="1287" max="1287" width="2.7109375" style="1" customWidth="1"/>
    <col min="1288" max="1288" width="40.42578125" style="1" customWidth="1"/>
    <col min="1289" max="1290" width="18.42578125" style="1" customWidth="1"/>
    <col min="1291" max="1291" width="18.85546875" style="1" customWidth="1"/>
    <col min="1292" max="1292" width="18.28515625" style="1" customWidth="1"/>
    <col min="1293" max="1293" width="17.140625" style="1" customWidth="1"/>
    <col min="1294" max="1294" width="9.140625" style="1"/>
    <col min="1295" max="1295" width="22" style="1" customWidth="1"/>
    <col min="1296" max="1296" width="20.28515625" style="1" customWidth="1"/>
    <col min="1297" max="1297" width="14.85546875" style="1" customWidth="1"/>
    <col min="1298" max="1298" width="21.28515625" style="1" customWidth="1"/>
    <col min="1299" max="1541" width="9.140625" style="1"/>
    <col min="1542" max="1542" width="1.140625" style="1" customWidth="1"/>
    <col min="1543" max="1543" width="2.7109375" style="1" customWidth="1"/>
    <col min="1544" max="1544" width="40.42578125" style="1" customWidth="1"/>
    <col min="1545" max="1546" width="18.42578125" style="1" customWidth="1"/>
    <col min="1547" max="1547" width="18.85546875" style="1" customWidth="1"/>
    <col min="1548" max="1548" width="18.28515625" style="1" customWidth="1"/>
    <col min="1549" max="1549" width="17.140625" style="1" customWidth="1"/>
    <col min="1550" max="1550" width="9.140625" style="1"/>
    <col min="1551" max="1551" width="22" style="1" customWidth="1"/>
    <col min="1552" max="1552" width="20.28515625" style="1" customWidth="1"/>
    <col min="1553" max="1553" width="14.85546875" style="1" customWidth="1"/>
    <col min="1554" max="1554" width="21.28515625" style="1" customWidth="1"/>
    <col min="1555" max="1797" width="9.140625" style="1"/>
    <col min="1798" max="1798" width="1.140625" style="1" customWidth="1"/>
    <col min="1799" max="1799" width="2.7109375" style="1" customWidth="1"/>
    <col min="1800" max="1800" width="40.42578125" style="1" customWidth="1"/>
    <col min="1801" max="1802" width="18.42578125" style="1" customWidth="1"/>
    <col min="1803" max="1803" width="18.85546875" style="1" customWidth="1"/>
    <col min="1804" max="1804" width="18.28515625" style="1" customWidth="1"/>
    <col min="1805" max="1805" width="17.140625" style="1" customWidth="1"/>
    <col min="1806" max="1806" width="9.140625" style="1"/>
    <col min="1807" max="1807" width="22" style="1" customWidth="1"/>
    <col min="1808" max="1808" width="20.28515625" style="1" customWidth="1"/>
    <col min="1809" max="1809" width="14.85546875" style="1" customWidth="1"/>
    <col min="1810" max="1810" width="21.28515625" style="1" customWidth="1"/>
    <col min="1811" max="2053" width="9.140625" style="1"/>
    <col min="2054" max="2054" width="1.140625" style="1" customWidth="1"/>
    <col min="2055" max="2055" width="2.7109375" style="1" customWidth="1"/>
    <col min="2056" max="2056" width="40.42578125" style="1" customWidth="1"/>
    <col min="2057" max="2058" width="18.42578125" style="1" customWidth="1"/>
    <col min="2059" max="2059" width="18.85546875" style="1" customWidth="1"/>
    <col min="2060" max="2060" width="18.28515625" style="1" customWidth="1"/>
    <col min="2061" max="2061" width="17.140625" style="1" customWidth="1"/>
    <col min="2062" max="2062" width="9.140625" style="1"/>
    <col min="2063" max="2063" width="22" style="1" customWidth="1"/>
    <col min="2064" max="2064" width="20.28515625" style="1" customWidth="1"/>
    <col min="2065" max="2065" width="14.85546875" style="1" customWidth="1"/>
    <col min="2066" max="2066" width="21.28515625" style="1" customWidth="1"/>
    <col min="2067" max="2309" width="9.140625" style="1"/>
    <col min="2310" max="2310" width="1.140625" style="1" customWidth="1"/>
    <col min="2311" max="2311" width="2.7109375" style="1" customWidth="1"/>
    <col min="2312" max="2312" width="40.42578125" style="1" customWidth="1"/>
    <col min="2313" max="2314" width="18.42578125" style="1" customWidth="1"/>
    <col min="2315" max="2315" width="18.85546875" style="1" customWidth="1"/>
    <col min="2316" max="2316" width="18.28515625" style="1" customWidth="1"/>
    <col min="2317" max="2317" width="17.140625" style="1" customWidth="1"/>
    <col min="2318" max="2318" width="9.140625" style="1"/>
    <col min="2319" max="2319" width="22" style="1" customWidth="1"/>
    <col min="2320" max="2320" width="20.28515625" style="1" customWidth="1"/>
    <col min="2321" max="2321" width="14.85546875" style="1" customWidth="1"/>
    <col min="2322" max="2322" width="21.28515625" style="1" customWidth="1"/>
    <col min="2323" max="2565" width="9.140625" style="1"/>
    <col min="2566" max="2566" width="1.140625" style="1" customWidth="1"/>
    <col min="2567" max="2567" width="2.7109375" style="1" customWidth="1"/>
    <col min="2568" max="2568" width="40.42578125" style="1" customWidth="1"/>
    <col min="2569" max="2570" width="18.42578125" style="1" customWidth="1"/>
    <col min="2571" max="2571" width="18.85546875" style="1" customWidth="1"/>
    <col min="2572" max="2572" width="18.28515625" style="1" customWidth="1"/>
    <col min="2573" max="2573" width="17.140625" style="1" customWidth="1"/>
    <col min="2574" max="2574" width="9.140625" style="1"/>
    <col min="2575" max="2575" width="22" style="1" customWidth="1"/>
    <col min="2576" max="2576" width="20.28515625" style="1" customWidth="1"/>
    <col min="2577" max="2577" width="14.85546875" style="1" customWidth="1"/>
    <col min="2578" max="2578" width="21.28515625" style="1" customWidth="1"/>
    <col min="2579" max="2821" width="9.140625" style="1"/>
    <col min="2822" max="2822" width="1.140625" style="1" customWidth="1"/>
    <col min="2823" max="2823" width="2.7109375" style="1" customWidth="1"/>
    <col min="2824" max="2824" width="40.42578125" style="1" customWidth="1"/>
    <col min="2825" max="2826" width="18.42578125" style="1" customWidth="1"/>
    <col min="2827" max="2827" width="18.85546875" style="1" customWidth="1"/>
    <col min="2828" max="2828" width="18.28515625" style="1" customWidth="1"/>
    <col min="2829" max="2829" width="17.140625" style="1" customWidth="1"/>
    <col min="2830" max="2830" width="9.140625" style="1"/>
    <col min="2831" max="2831" width="22" style="1" customWidth="1"/>
    <col min="2832" max="2832" width="20.28515625" style="1" customWidth="1"/>
    <col min="2833" max="2833" width="14.85546875" style="1" customWidth="1"/>
    <col min="2834" max="2834" width="21.28515625" style="1" customWidth="1"/>
    <col min="2835" max="3077" width="9.140625" style="1"/>
    <col min="3078" max="3078" width="1.140625" style="1" customWidth="1"/>
    <col min="3079" max="3079" width="2.7109375" style="1" customWidth="1"/>
    <col min="3080" max="3080" width="40.42578125" style="1" customWidth="1"/>
    <col min="3081" max="3082" width="18.42578125" style="1" customWidth="1"/>
    <col min="3083" max="3083" width="18.85546875" style="1" customWidth="1"/>
    <col min="3084" max="3084" width="18.28515625" style="1" customWidth="1"/>
    <col min="3085" max="3085" width="17.140625" style="1" customWidth="1"/>
    <col min="3086" max="3086" width="9.140625" style="1"/>
    <col min="3087" max="3087" width="22" style="1" customWidth="1"/>
    <col min="3088" max="3088" width="20.28515625" style="1" customWidth="1"/>
    <col min="3089" max="3089" width="14.85546875" style="1" customWidth="1"/>
    <col min="3090" max="3090" width="21.28515625" style="1" customWidth="1"/>
    <col min="3091" max="3333" width="9.140625" style="1"/>
    <col min="3334" max="3334" width="1.140625" style="1" customWidth="1"/>
    <col min="3335" max="3335" width="2.7109375" style="1" customWidth="1"/>
    <col min="3336" max="3336" width="40.42578125" style="1" customWidth="1"/>
    <col min="3337" max="3338" width="18.42578125" style="1" customWidth="1"/>
    <col min="3339" max="3339" width="18.85546875" style="1" customWidth="1"/>
    <col min="3340" max="3340" width="18.28515625" style="1" customWidth="1"/>
    <col min="3341" max="3341" width="17.140625" style="1" customWidth="1"/>
    <col min="3342" max="3342" width="9.140625" style="1"/>
    <col min="3343" max="3343" width="22" style="1" customWidth="1"/>
    <col min="3344" max="3344" width="20.28515625" style="1" customWidth="1"/>
    <col min="3345" max="3345" width="14.85546875" style="1" customWidth="1"/>
    <col min="3346" max="3346" width="21.28515625" style="1" customWidth="1"/>
    <col min="3347" max="3589" width="9.140625" style="1"/>
    <col min="3590" max="3590" width="1.140625" style="1" customWidth="1"/>
    <col min="3591" max="3591" width="2.7109375" style="1" customWidth="1"/>
    <col min="3592" max="3592" width="40.42578125" style="1" customWidth="1"/>
    <col min="3593" max="3594" width="18.42578125" style="1" customWidth="1"/>
    <col min="3595" max="3595" width="18.85546875" style="1" customWidth="1"/>
    <col min="3596" max="3596" width="18.28515625" style="1" customWidth="1"/>
    <col min="3597" max="3597" width="17.140625" style="1" customWidth="1"/>
    <col min="3598" max="3598" width="9.140625" style="1"/>
    <col min="3599" max="3599" width="22" style="1" customWidth="1"/>
    <col min="3600" max="3600" width="20.28515625" style="1" customWidth="1"/>
    <col min="3601" max="3601" width="14.85546875" style="1" customWidth="1"/>
    <col min="3602" max="3602" width="21.28515625" style="1" customWidth="1"/>
    <col min="3603" max="3845" width="9.140625" style="1"/>
    <col min="3846" max="3846" width="1.140625" style="1" customWidth="1"/>
    <col min="3847" max="3847" width="2.7109375" style="1" customWidth="1"/>
    <col min="3848" max="3848" width="40.42578125" style="1" customWidth="1"/>
    <col min="3849" max="3850" width="18.42578125" style="1" customWidth="1"/>
    <col min="3851" max="3851" width="18.85546875" style="1" customWidth="1"/>
    <col min="3852" max="3852" width="18.28515625" style="1" customWidth="1"/>
    <col min="3853" max="3853" width="17.140625" style="1" customWidth="1"/>
    <col min="3854" max="3854" width="9.140625" style="1"/>
    <col min="3855" max="3855" width="22" style="1" customWidth="1"/>
    <col min="3856" max="3856" width="20.28515625" style="1" customWidth="1"/>
    <col min="3857" max="3857" width="14.85546875" style="1" customWidth="1"/>
    <col min="3858" max="3858" width="21.28515625" style="1" customWidth="1"/>
    <col min="3859" max="4101" width="9.140625" style="1"/>
    <col min="4102" max="4102" width="1.140625" style="1" customWidth="1"/>
    <col min="4103" max="4103" width="2.7109375" style="1" customWidth="1"/>
    <col min="4104" max="4104" width="40.42578125" style="1" customWidth="1"/>
    <col min="4105" max="4106" width="18.42578125" style="1" customWidth="1"/>
    <col min="4107" max="4107" width="18.85546875" style="1" customWidth="1"/>
    <col min="4108" max="4108" width="18.28515625" style="1" customWidth="1"/>
    <col min="4109" max="4109" width="17.140625" style="1" customWidth="1"/>
    <col min="4110" max="4110" width="9.140625" style="1"/>
    <col min="4111" max="4111" width="22" style="1" customWidth="1"/>
    <col min="4112" max="4112" width="20.28515625" style="1" customWidth="1"/>
    <col min="4113" max="4113" width="14.85546875" style="1" customWidth="1"/>
    <col min="4114" max="4114" width="21.28515625" style="1" customWidth="1"/>
    <col min="4115" max="4357" width="9.140625" style="1"/>
    <col min="4358" max="4358" width="1.140625" style="1" customWidth="1"/>
    <col min="4359" max="4359" width="2.7109375" style="1" customWidth="1"/>
    <col min="4360" max="4360" width="40.42578125" style="1" customWidth="1"/>
    <col min="4361" max="4362" width="18.42578125" style="1" customWidth="1"/>
    <col min="4363" max="4363" width="18.85546875" style="1" customWidth="1"/>
    <col min="4364" max="4364" width="18.28515625" style="1" customWidth="1"/>
    <col min="4365" max="4365" width="17.140625" style="1" customWidth="1"/>
    <col min="4366" max="4366" width="9.140625" style="1"/>
    <col min="4367" max="4367" width="22" style="1" customWidth="1"/>
    <col min="4368" max="4368" width="20.28515625" style="1" customWidth="1"/>
    <col min="4369" max="4369" width="14.85546875" style="1" customWidth="1"/>
    <col min="4370" max="4370" width="21.28515625" style="1" customWidth="1"/>
    <col min="4371" max="4613" width="9.140625" style="1"/>
    <col min="4614" max="4614" width="1.140625" style="1" customWidth="1"/>
    <col min="4615" max="4615" width="2.7109375" style="1" customWidth="1"/>
    <col min="4616" max="4616" width="40.42578125" style="1" customWidth="1"/>
    <col min="4617" max="4618" width="18.42578125" style="1" customWidth="1"/>
    <col min="4619" max="4619" width="18.85546875" style="1" customWidth="1"/>
    <col min="4620" max="4620" width="18.28515625" style="1" customWidth="1"/>
    <col min="4621" max="4621" width="17.140625" style="1" customWidth="1"/>
    <col min="4622" max="4622" width="9.140625" style="1"/>
    <col min="4623" max="4623" width="22" style="1" customWidth="1"/>
    <col min="4624" max="4624" width="20.28515625" style="1" customWidth="1"/>
    <col min="4625" max="4625" width="14.85546875" style="1" customWidth="1"/>
    <col min="4626" max="4626" width="21.28515625" style="1" customWidth="1"/>
    <col min="4627" max="4869" width="9.140625" style="1"/>
    <col min="4870" max="4870" width="1.140625" style="1" customWidth="1"/>
    <col min="4871" max="4871" width="2.7109375" style="1" customWidth="1"/>
    <col min="4872" max="4872" width="40.42578125" style="1" customWidth="1"/>
    <col min="4873" max="4874" width="18.42578125" style="1" customWidth="1"/>
    <col min="4875" max="4875" width="18.85546875" style="1" customWidth="1"/>
    <col min="4876" max="4876" width="18.28515625" style="1" customWidth="1"/>
    <col min="4877" max="4877" width="17.140625" style="1" customWidth="1"/>
    <col min="4878" max="4878" width="9.140625" style="1"/>
    <col min="4879" max="4879" width="22" style="1" customWidth="1"/>
    <col min="4880" max="4880" width="20.28515625" style="1" customWidth="1"/>
    <col min="4881" max="4881" width="14.85546875" style="1" customWidth="1"/>
    <col min="4882" max="4882" width="21.28515625" style="1" customWidth="1"/>
    <col min="4883" max="5125" width="9.140625" style="1"/>
    <col min="5126" max="5126" width="1.140625" style="1" customWidth="1"/>
    <col min="5127" max="5127" width="2.7109375" style="1" customWidth="1"/>
    <col min="5128" max="5128" width="40.42578125" style="1" customWidth="1"/>
    <col min="5129" max="5130" width="18.42578125" style="1" customWidth="1"/>
    <col min="5131" max="5131" width="18.85546875" style="1" customWidth="1"/>
    <col min="5132" max="5132" width="18.28515625" style="1" customWidth="1"/>
    <col min="5133" max="5133" width="17.140625" style="1" customWidth="1"/>
    <col min="5134" max="5134" width="9.140625" style="1"/>
    <col min="5135" max="5135" width="22" style="1" customWidth="1"/>
    <col min="5136" max="5136" width="20.28515625" style="1" customWidth="1"/>
    <col min="5137" max="5137" width="14.85546875" style="1" customWidth="1"/>
    <col min="5138" max="5138" width="21.28515625" style="1" customWidth="1"/>
    <col min="5139" max="5381" width="9.140625" style="1"/>
    <col min="5382" max="5382" width="1.140625" style="1" customWidth="1"/>
    <col min="5383" max="5383" width="2.7109375" style="1" customWidth="1"/>
    <col min="5384" max="5384" width="40.42578125" style="1" customWidth="1"/>
    <col min="5385" max="5386" width="18.42578125" style="1" customWidth="1"/>
    <col min="5387" max="5387" width="18.85546875" style="1" customWidth="1"/>
    <col min="5388" max="5388" width="18.28515625" style="1" customWidth="1"/>
    <col min="5389" max="5389" width="17.140625" style="1" customWidth="1"/>
    <col min="5390" max="5390" width="9.140625" style="1"/>
    <col min="5391" max="5391" width="22" style="1" customWidth="1"/>
    <col min="5392" max="5392" width="20.28515625" style="1" customWidth="1"/>
    <col min="5393" max="5393" width="14.85546875" style="1" customWidth="1"/>
    <col min="5394" max="5394" width="21.28515625" style="1" customWidth="1"/>
    <col min="5395" max="5637" width="9.140625" style="1"/>
    <col min="5638" max="5638" width="1.140625" style="1" customWidth="1"/>
    <col min="5639" max="5639" width="2.7109375" style="1" customWidth="1"/>
    <col min="5640" max="5640" width="40.42578125" style="1" customWidth="1"/>
    <col min="5641" max="5642" width="18.42578125" style="1" customWidth="1"/>
    <col min="5643" max="5643" width="18.85546875" style="1" customWidth="1"/>
    <col min="5644" max="5644" width="18.28515625" style="1" customWidth="1"/>
    <col min="5645" max="5645" width="17.140625" style="1" customWidth="1"/>
    <col min="5646" max="5646" width="9.140625" style="1"/>
    <col min="5647" max="5647" width="22" style="1" customWidth="1"/>
    <col min="5648" max="5648" width="20.28515625" style="1" customWidth="1"/>
    <col min="5649" max="5649" width="14.85546875" style="1" customWidth="1"/>
    <col min="5650" max="5650" width="21.28515625" style="1" customWidth="1"/>
    <col min="5651" max="5893" width="9.140625" style="1"/>
    <col min="5894" max="5894" width="1.140625" style="1" customWidth="1"/>
    <col min="5895" max="5895" width="2.7109375" style="1" customWidth="1"/>
    <col min="5896" max="5896" width="40.42578125" style="1" customWidth="1"/>
    <col min="5897" max="5898" width="18.42578125" style="1" customWidth="1"/>
    <col min="5899" max="5899" width="18.85546875" style="1" customWidth="1"/>
    <col min="5900" max="5900" width="18.28515625" style="1" customWidth="1"/>
    <col min="5901" max="5901" width="17.140625" style="1" customWidth="1"/>
    <col min="5902" max="5902" width="9.140625" style="1"/>
    <col min="5903" max="5903" width="22" style="1" customWidth="1"/>
    <col min="5904" max="5904" width="20.28515625" style="1" customWidth="1"/>
    <col min="5905" max="5905" width="14.85546875" style="1" customWidth="1"/>
    <col min="5906" max="5906" width="21.28515625" style="1" customWidth="1"/>
    <col min="5907" max="6149" width="9.140625" style="1"/>
    <col min="6150" max="6150" width="1.140625" style="1" customWidth="1"/>
    <col min="6151" max="6151" width="2.7109375" style="1" customWidth="1"/>
    <col min="6152" max="6152" width="40.42578125" style="1" customWidth="1"/>
    <col min="6153" max="6154" width="18.42578125" style="1" customWidth="1"/>
    <col min="6155" max="6155" width="18.85546875" style="1" customWidth="1"/>
    <col min="6156" max="6156" width="18.28515625" style="1" customWidth="1"/>
    <col min="6157" max="6157" width="17.140625" style="1" customWidth="1"/>
    <col min="6158" max="6158" width="9.140625" style="1"/>
    <col min="6159" max="6159" width="22" style="1" customWidth="1"/>
    <col min="6160" max="6160" width="20.28515625" style="1" customWidth="1"/>
    <col min="6161" max="6161" width="14.85546875" style="1" customWidth="1"/>
    <col min="6162" max="6162" width="21.28515625" style="1" customWidth="1"/>
    <col min="6163" max="6405" width="9.140625" style="1"/>
    <col min="6406" max="6406" width="1.140625" style="1" customWidth="1"/>
    <col min="6407" max="6407" width="2.7109375" style="1" customWidth="1"/>
    <col min="6408" max="6408" width="40.42578125" style="1" customWidth="1"/>
    <col min="6409" max="6410" width="18.42578125" style="1" customWidth="1"/>
    <col min="6411" max="6411" width="18.85546875" style="1" customWidth="1"/>
    <col min="6412" max="6412" width="18.28515625" style="1" customWidth="1"/>
    <col min="6413" max="6413" width="17.140625" style="1" customWidth="1"/>
    <col min="6414" max="6414" width="9.140625" style="1"/>
    <col min="6415" max="6415" width="22" style="1" customWidth="1"/>
    <col min="6416" max="6416" width="20.28515625" style="1" customWidth="1"/>
    <col min="6417" max="6417" width="14.85546875" style="1" customWidth="1"/>
    <col min="6418" max="6418" width="21.28515625" style="1" customWidth="1"/>
    <col min="6419" max="6661" width="9.140625" style="1"/>
    <col min="6662" max="6662" width="1.140625" style="1" customWidth="1"/>
    <col min="6663" max="6663" width="2.7109375" style="1" customWidth="1"/>
    <col min="6664" max="6664" width="40.42578125" style="1" customWidth="1"/>
    <col min="6665" max="6666" width="18.42578125" style="1" customWidth="1"/>
    <col min="6667" max="6667" width="18.85546875" style="1" customWidth="1"/>
    <col min="6668" max="6668" width="18.28515625" style="1" customWidth="1"/>
    <col min="6669" max="6669" width="17.140625" style="1" customWidth="1"/>
    <col min="6670" max="6670" width="9.140625" style="1"/>
    <col min="6671" max="6671" width="22" style="1" customWidth="1"/>
    <col min="6672" max="6672" width="20.28515625" style="1" customWidth="1"/>
    <col min="6673" max="6673" width="14.85546875" style="1" customWidth="1"/>
    <col min="6674" max="6674" width="21.28515625" style="1" customWidth="1"/>
    <col min="6675" max="6917" width="9.140625" style="1"/>
    <col min="6918" max="6918" width="1.140625" style="1" customWidth="1"/>
    <col min="6919" max="6919" width="2.7109375" style="1" customWidth="1"/>
    <col min="6920" max="6920" width="40.42578125" style="1" customWidth="1"/>
    <col min="6921" max="6922" width="18.42578125" style="1" customWidth="1"/>
    <col min="6923" max="6923" width="18.85546875" style="1" customWidth="1"/>
    <col min="6924" max="6924" width="18.28515625" style="1" customWidth="1"/>
    <col min="6925" max="6925" width="17.140625" style="1" customWidth="1"/>
    <col min="6926" max="6926" width="9.140625" style="1"/>
    <col min="6927" max="6927" width="22" style="1" customWidth="1"/>
    <col min="6928" max="6928" width="20.28515625" style="1" customWidth="1"/>
    <col min="6929" max="6929" width="14.85546875" style="1" customWidth="1"/>
    <col min="6930" max="6930" width="21.28515625" style="1" customWidth="1"/>
    <col min="6931" max="7173" width="9.140625" style="1"/>
    <col min="7174" max="7174" width="1.140625" style="1" customWidth="1"/>
    <col min="7175" max="7175" width="2.7109375" style="1" customWidth="1"/>
    <col min="7176" max="7176" width="40.42578125" style="1" customWidth="1"/>
    <col min="7177" max="7178" width="18.42578125" style="1" customWidth="1"/>
    <col min="7179" max="7179" width="18.85546875" style="1" customWidth="1"/>
    <col min="7180" max="7180" width="18.28515625" style="1" customWidth="1"/>
    <col min="7181" max="7181" width="17.140625" style="1" customWidth="1"/>
    <col min="7182" max="7182" width="9.140625" style="1"/>
    <col min="7183" max="7183" width="22" style="1" customWidth="1"/>
    <col min="7184" max="7184" width="20.28515625" style="1" customWidth="1"/>
    <col min="7185" max="7185" width="14.85546875" style="1" customWidth="1"/>
    <col min="7186" max="7186" width="21.28515625" style="1" customWidth="1"/>
    <col min="7187" max="7429" width="9.140625" style="1"/>
    <col min="7430" max="7430" width="1.140625" style="1" customWidth="1"/>
    <col min="7431" max="7431" width="2.7109375" style="1" customWidth="1"/>
    <col min="7432" max="7432" width="40.42578125" style="1" customWidth="1"/>
    <col min="7433" max="7434" width="18.42578125" style="1" customWidth="1"/>
    <col min="7435" max="7435" width="18.85546875" style="1" customWidth="1"/>
    <col min="7436" max="7436" width="18.28515625" style="1" customWidth="1"/>
    <col min="7437" max="7437" width="17.140625" style="1" customWidth="1"/>
    <col min="7438" max="7438" width="9.140625" style="1"/>
    <col min="7439" max="7439" width="22" style="1" customWidth="1"/>
    <col min="7440" max="7440" width="20.28515625" style="1" customWidth="1"/>
    <col min="7441" max="7441" width="14.85546875" style="1" customWidth="1"/>
    <col min="7442" max="7442" width="21.28515625" style="1" customWidth="1"/>
    <col min="7443" max="7685" width="9.140625" style="1"/>
    <col min="7686" max="7686" width="1.140625" style="1" customWidth="1"/>
    <col min="7687" max="7687" width="2.7109375" style="1" customWidth="1"/>
    <col min="7688" max="7688" width="40.42578125" style="1" customWidth="1"/>
    <col min="7689" max="7690" width="18.42578125" style="1" customWidth="1"/>
    <col min="7691" max="7691" width="18.85546875" style="1" customWidth="1"/>
    <col min="7692" max="7692" width="18.28515625" style="1" customWidth="1"/>
    <col min="7693" max="7693" width="17.140625" style="1" customWidth="1"/>
    <col min="7694" max="7694" width="9.140625" style="1"/>
    <col min="7695" max="7695" width="22" style="1" customWidth="1"/>
    <col min="7696" max="7696" width="20.28515625" style="1" customWidth="1"/>
    <col min="7697" max="7697" width="14.85546875" style="1" customWidth="1"/>
    <col min="7698" max="7698" width="21.28515625" style="1" customWidth="1"/>
    <col min="7699" max="7941" width="9.140625" style="1"/>
    <col min="7942" max="7942" width="1.140625" style="1" customWidth="1"/>
    <col min="7943" max="7943" width="2.7109375" style="1" customWidth="1"/>
    <col min="7944" max="7944" width="40.42578125" style="1" customWidth="1"/>
    <col min="7945" max="7946" width="18.42578125" style="1" customWidth="1"/>
    <col min="7947" max="7947" width="18.85546875" style="1" customWidth="1"/>
    <col min="7948" max="7948" width="18.28515625" style="1" customWidth="1"/>
    <col min="7949" max="7949" width="17.140625" style="1" customWidth="1"/>
    <col min="7950" max="7950" width="9.140625" style="1"/>
    <col min="7951" max="7951" width="22" style="1" customWidth="1"/>
    <col min="7952" max="7952" width="20.28515625" style="1" customWidth="1"/>
    <col min="7953" max="7953" width="14.85546875" style="1" customWidth="1"/>
    <col min="7954" max="7954" width="21.28515625" style="1" customWidth="1"/>
    <col min="7955" max="8197" width="9.140625" style="1"/>
    <col min="8198" max="8198" width="1.140625" style="1" customWidth="1"/>
    <col min="8199" max="8199" width="2.7109375" style="1" customWidth="1"/>
    <col min="8200" max="8200" width="40.42578125" style="1" customWidth="1"/>
    <col min="8201" max="8202" width="18.42578125" style="1" customWidth="1"/>
    <col min="8203" max="8203" width="18.85546875" style="1" customWidth="1"/>
    <col min="8204" max="8204" width="18.28515625" style="1" customWidth="1"/>
    <col min="8205" max="8205" width="17.140625" style="1" customWidth="1"/>
    <col min="8206" max="8206" width="9.140625" style="1"/>
    <col min="8207" max="8207" width="22" style="1" customWidth="1"/>
    <col min="8208" max="8208" width="20.28515625" style="1" customWidth="1"/>
    <col min="8209" max="8209" width="14.85546875" style="1" customWidth="1"/>
    <col min="8210" max="8210" width="21.28515625" style="1" customWidth="1"/>
    <col min="8211" max="8453" width="9.140625" style="1"/>
    <col min="8454" max="8454" width="1.140625" style="1" customWidth="1"/>
    <col min="8455" max="8455" width="2.7109375" style="1" customWidth="1"/>
    <col min="8456" max="8456" width="40.42578125" style="1" customWidth="1"/>
    <col min="8457" max="8458" width="18.42578125" style="1" customWidth="1"/>
    <col min="8459" max="8459" width="18.85546875" style="1" customWidth="1"/>
    <col min="8460" max="8460" width="18.28515625" style="1" customWidth="1"/>
    <col min="8461" max="8461" width="17.140625" style="1" customWidth="1"/>
    <col min="8462" max="8462" width="9.140625" style="1"/>
    <col min="8463" max="8463" width="22" style="1" customWidth="1"/>
    <col min="8464" max="8464" width="20.28515625" style="1" customWidth="1"/>
    <col min="8465" max="8465" width="14.85546875" style="1" customWidth="1"/>
    <col min="8466" max="8466" width="21.28515625" style="1" customWidth="1"/>
    <col min="8467" max="8709" width="9.140625" style="1"/>
    <col min="8710" max="8710" width="1.140625" style="1" customWidth="1"/>
    <col min="8711" max="8711" width="2.7109375" style="1" customWidth="1"/>
    <col min="8712" max="8712" width="40.42578125" style="1" customWidth="1"/>
    <col min="8713" max="8714" width="18.42578125" style="1" customWidth="1"/>
    <col min="8715" max="8715" width="18.85546875" style="1" customWidth="1"/>
    <col min="8716" max="8716" width="18.28515625" style="1" customWidth="1"/>
    <col min="8717" max="8717" width="17.140625" style="1" customWidth="1"/>
    <col min="8718" max="8718" width="9.140625" style="1"/>
    <col min="8719" max="8719" width="22" style="1" customWidth="1"/>
    <col min="8720" max="8720" width="20.28515625" style="1" customWidth="1"/>
    <col min="8721" max="8721" width="14.85546875" style="1" customWidth="1"/>
    <col min="8722" max="8722" width="21.28515625" style="1" customWidth="1"/>
    <col min="8723" max="8965" width="9.140625" style="1"/>
    <col min="8966" max="8966" width="1.140625" style="1" customWidth="1"/>
    <col min="8967" max="8967" width="2.7109375" style="1" customWidth="1"/>
    <col min="8968" max="8968" width="40.42578125" style="1" customWidth="1"/>
    <col min="8969" max="8970" width="18.42578125" style="1" customWidth="1"/>
    <col min="8971" max="8971" width="18.85546875" style="1" customWidth="1"/>
    <col min="8972" max="8972" width="18.28515625" style="1" customWidth="1"/>
    <col min="8973" max="8973" width="17.140625" style="1" customWidth="1"/>
    <col min="8974" max="8974" width="9.140625" style="1"/>
    <col min="8975" max="8975" width="22" style="1" customWidth="1"/>
    <col min="8976" max="8976" width="20.28515625" style="1" customWidth="1"/>
    <col min="8977" max="8977" width="14.85546875" style="1" customWidth="1"/>
    <col min="8978" max="8978" width="21.28515625" style="1" customWidth="1"/>
    <col min="8979" max="9221" width="9.140625" style="1"/>
    <col min="9222" max="9222" width="1.140625" style="1" customWidth="1"/>
    <col min="9223" max="9223" width="2.7109375" style="1" customWidth="1"/>
    <col min="9224" max="9224" width="40.42578125" style="1" customWidth="1"/>
    <col min="9225" max="9226" width="18.42578125" style="1" customWidth="1"/>
    <col min="9227" max="9227" width="18.85546875" style="1" customWidth="1"/>
    <col min="9228" max="9228" width="18.28515625" style="1" customWidth="1"/>
    <col min="9229" max="9229" width="17.140625" style="1" customWidth="1"/>
    <col min="9230" max="9230" width="9.140625" style="1"/>
    <col min="9231" max="9231" width="22" style="1" customWidth="1"/>
    <col min="9232" max="9232" width="20.28515625" style="1" customWidth="1"/>
    <col min="9233" max="9233" width="14.85546875" style="1" customWidth="1"/>
    <col min="9234" max="9234" width="21.28515625" style="1" customWidth="1"/>
    <col min="9235" max="9477" width="9.140625" style="1"/>
    <col min="9478" max="9478" width="1.140625" style="1" customWidth="1"/>
    <col min="9479" max="9479" width="2.7109375" style="1" customWidth="1"/>
    <col min="9480" max="9480" width="40.42578125" style="1" customWidth="1"/>
    <col min="9481" max="9482" width="18.42578125" style="1" customWidth="1"/>
    <col min="9483" max="9483" width="18.85546875" style="1" customWidth="1"/>
    <col min="9484" max="9484" width="18.28515625" style="1" customWidth="1"/>
    <col min="9485" max="9485" width="17.140625" style="1" customWidth="1"/>
    <col min="9486" max="9486" width="9.140625" style="1"/>
    <col min="9487" max="9487" width="22" style="1" customWidth="1"/>
    <col min="9488" max="9488" width="20.28515625" style="1" customWidth="1"/>
    <col min="9489" max="9489" width="14.85546875" style="1" customWidth="1"/>
    <col min="9490" max="9490" width="21.28515625" style="1" customWidth="1"/>
    <col min="9491" max="9733" width="9.140625" style="1"/>
    <col min="9734" max="9734" width="1.140625" style="1" customWidth="1"/>
    <col min="9735" max="9735" width="2.7109375" style="1" customWidth="1"/>
    <col min="9736" max="9736" width="40.42578125" style="1" customWidth="1"/>
    <col min="9737" max="9738" width="18.42578125" style="1" customWidth="1"/>
    <col min="9739" max="9739" width="18.85546875" style="1" customWidth="1"/>
    <col min="9740" max="9740" width="18.28515625" style="1" customWidth="1"/>
    <col min="9741" max="9741" width="17.140625" style="1" customWidth="1"/>
    <col min="9742" max="9742" width="9.140625" style="1"/>
    <col min="9743" max="9743" width="22" style="1" customWidth="1"/>
    <col min="9744" max="9744" width="20.28515625" style="1" customWidth="1"/>
    <col min="9745" max="9745" width="14.85546875" style="1" customWidth="1"/>
    <col min="9746" max="9746" width="21.28515625" style="1" customWidth="1"/>
    <col min="9747" max="9989" width="9.140625" style="1"/>
    <col min="9990" max="9990" width="1.140625" style="1" customWidth="1"/>
    <col min="9991" max="9991" width="2.7109375" style="1" customWidth="1"/>
    <col min="9992" max="9992" width="40.42578125" style="1" customWidth="1"/>
    <col min="9993" max="9994" width="18.42578125" style="1" customWidth="1"/>
    <col min="9995" max="9995" width="18.85546875" style="1" customWidth="1"/>
    <col min="9996" max="9996" width="18.28515625" style="1" customWidth="1"/>
    <col min="9997" max="9997" width="17.140625" style="1" customWidth="1"/>
    <col min="9998" max="9998" width="9.140625" style="1"/>
    <col min="9999" max="9999" width="22" style="1" customWidth="1"/>
    <col min="10000" max="10000" width="20.28515625" style="1" customWidth="1"/>
    <col min="10001" max="10001" width="14.85546875" style="1" customWidth="1"/>
    <col min="10002" max="10002" width="21.28515625" style="1" customWidth="1"/>
    <col min="10003" max="10245" width="9.140625" style="1"/>
    <col min="10246" max="10246" width="1.140625" style="1" customWidth="1"/>
    <col min="10247" max="10247" width="2.7109375" style="1" customWidth="1"/>
    <col min="10248" max="10248" width="40.42578125" style="1" customWidth="1"/>
    <col min="10249" max="10250" width="18.42578125" style="1" customWidth="1"/>
    <col min="10251" max="10251" width="18.85546875" style="1" customWidth="1"/>
    <col min="10252" max="10252" width="18.28515625" style="1" customWidth="1"/>
    <col min="10253" max="10253" width="17.140625" style="1" customWidth="1"/>
    <col min="10254" max="10254" width="9.140625" style="1"/>
    <col min="10255" max="10255" width="22" style="1" customWidth="1"/>
    <col min="10256" max="10256" width="20.28515625" style="1" customWidth="1"/>
    <col min="10257" max="10257" width="14.85546875" style="1" customWidth="1"/>
    <col min="10258" max="10258" width="21.28515625" style="1" customWidth="1"/>
    <col min="10259" max="10501" width="9.140625" style="1"/>
    <col min="10502" max="10502" width="1.140625" style="1" customWidth="1"/>
    <col min="10503" max="10503" width="2.7109375" style="1" customWidth="1"/>
    <col min="10504" max="10504" width="40.42578125" style="1" customWidth="1"/>
    <col min="10505" max="10506" width="18.42578125" style="1" customWidth="1"/>
    <col min="10507" max="10507" width="18.85546875" style="1" customWidth="1"/>
    <col min="10508" max="10508" width="18.28515625" style="1" customWidth="1"/>
    <col min="10509" max="10509" width="17.140625" style="1" customWidth="1"/>
    <col min="10510" max="10510" width="9.140625" style="1"/>
    <col min="10511" max="10511" width="22" style="1" customWidth="1"/>
    <col min="10512" max="10512" width="20.28515625" style="1" customWidth="1"/>
    <col min="10513" max="10513" width="14.85546875" style="1" customWidth="1"/>
    <col min="10514" max="10514" width="21.28515625" style="1" customWidth="1"/>
    <col min="10515" max="10757" width="9.140625" style="1"/>
    <col min="10758" max="10758" width="1.140625" style="1" customWidth="1"/>
    <col min="10759" max="10759" width="2.7109375" style="1" customWidth="1"/>
    <col min="10760" max="10760" width="40.42578125" style="1" customWidth="1"/>
    <col min="10761" max="10762" width="18.42578125" style="1" customWidth="1"/>
    <col min="10763" max="10763" width="18.85546875" style="1" customWidth="1"/>
    <col min="10764" max="10764" width="18.28515625" style="1" customWidth="1"/>
    <col min="10765" max="10765" width="17.140625" style="1" customWidth="1"/>
    <col min="10766" max="10766" width="9.140625" style="1"/>
    <col min="10767" max="10767" width="22" style="1" customWidth="1"/>
    <col min="10768" max="10768" width="20.28515625" style="1" customWidth="1"/>
    <col min="10769" max="10769" width="14.85546875" style="1" customWidth="1"/>
    <col min="10770" max="10770" width="21.28515625" style="1" customWidth="1"/>
    <col min="10771" max="11013" width="9.140625" style="1"/>
    <col min="11014" max="11014" width="1.140625" style="1" customWidth="1"/>
    <col min="11015" max="11015" width="2.7109375" style="1" customWidth="1"/>
    <col min="11016" max="11016" width="40.42578125" style="1" customWidth="1"/>
    <col min="11017" max="11018" width="18.42578125" style="1" customWidth="1"/>
    <col min="11019" max="11019" width="18.85546875" style="1" customWidth="1"/>
    <col min="11020" max="11020" width="18.28515625" style="1" customWidth="1"/>
    <col min="11021" max="11021" width="17.140625" style="1" customWidth="1"/>
    <col min="11022" max="11022" width="9.140625" style="1"/>
    <col min="11023" max="11023" width="22" style="1" customWidth="1"/>
    <col min="11024" max="11024" width="20.28515625" style="1" customWidth="1"/>
    <col min="11025" max="11025" width="14.85546875" style="1" customWidth="1"/>
    <col min="11026" max="11026" width="21.28515625" style="1" customWidth="1"/>
    <col min="11027" max="11269" width="9.140625" style="1"/>
    <col min="11270" max="11270" width="1.140625" style="1" customWidth="1"/>
    <col min="11271" max="11271" width="2.7109375" style="1" customWidth="1"/>
    <col min="11272" max="11272" width="40.42578125" style="1" customWidth="1"/>
    <col min="11273" max="11274" width="18.42578125" style="1" customWidth="1"/>
    <col min="11275" max="11275" width="18.85546875" style="1" customWidth="1"/>
    <col min="11276" max="11276" width="18.28515625" style="1" customWidth="1"/>
    <col min="11277" max="11277" width="17.140625" style="1" customWidth="1"/>
    <col min="11278" max="11278" width="9.140625" style="1"/>
    <col min="11279" max="11279" width="22" style="1" customWidth="1"/>
    <col min="11280" max="11280" width="20.28515625" style="1" customWidth="1"/>
    <col min="11281" max="11281" width="14.85546875" style="1" customWidth="1"/>
    <col min="11282" max="11282" width="21.28515625" style="1" customWidth="1"/>
    <col min="11283" max="11525" width="9.140625" style="1"/>
    <col min="11526" max="11526" width="1.140625" style="1" customWidth="1"/>
    <col min="11527" max="11527" width="2.7109375" style="1" customWidth="1"/>
    <col min="11528" max="11528" width="40.42578125" style="1" customWidth="1"/>
    <col min="11529" max="11530" width="18.42578125" style="1" customWidth="1"/>
    <col min="11531" max="11531" width="18.85546875" style="1" customWidth="1"/>
    <col min="11532" max="11532" width="18.28515625" style="1" customWidth="1"/>
    <col min="11533" max="11533" width="17.140625" style="1" customWidth="1"/>
    <col min="11534" max="11534" width="9.140625" style="1"/>
    <col min="11535" max="11535" width="22" style="1" customWidth="1"/>
    <col min="11536" max="11536" width="20.28515625" style="1" customWidth="1"/>
    <col min="11537" max="11537" width="14.85546875" style="1" customWidth="1"/>
    <col min="11538" max="11538" width="21.28515625" style="1" customWidth="1"/>
    <col min="11539" max="11781" width="9.140625" style="1"/>
    <col min="11782" max="11782" width="1.140625" style="1" customWidth="1"/>
    <col min="11783" max="11783" width="2.7109375" style="1" customWidth="1"/>
    <col min="11784" max="11784" width="40.42578125" style="1" customWidth="1"/>
    <col min="11785" max="11786" width="18.42578125" style="1" customWidth="1"/>
    <col min="11787" max="11787" width="18.85546875" style="1" customWidth="1"/>
    <col min="11788" max="11788" width="18.28515625" style="1" customWidth="1"/>
    <col min="11789" max="11789" width="17.140625" style="1" customWidth="1"/>
    <col min="11790" max="11790" width="9.140625" style="1"/>
    <col min="11791" max="11791" width="22" style="1" customWidth="1"/>
    <col min="11792" max="11792" width="20.28515625" style="1" customWidth="1"/>
    <col min="11793" max="11793" width="14.85546875" style="1" customWidth="1"/>
    <col min="11794" max="11794" width="21.28515625" style="1" customWidth="1"/>
    <col min="11795" max="12037" width="9.140625" style="1"/>
    <col min="12038" max="12038" width="1.140625" style="1" customWidth="1"/>
    <col min="12039" max="12039" width="2.7109375" style="1" customWidth="1"/>
    <col min="12040" max="12040" width="40.42578125" style="1" customWidth="1"/>
    <col min="12041" max="12042" width="18.42578125" style="1" customWidth="1"/>
    <col min="12043" max="12043" width="18.85546875" style="1" customWidth="1"/>
    <col min="12044" max="12044" width="18.28515625" style="1" customWidth="1"/>
    <col min="12045" max="12045" width="17.140625" style="1" customWidth="1"/>
    <col min="12046" max="12046" width="9.140625" style="1"/>
    <col min="12047" max="12047" width="22" style="1" customWidth="1"/>
    <col min="12048" max="12048" width="20.28515625" style="1" customWidth="1"/>
    <col min="12049" max="12049" width="14.85546875" style="1" customWidth="1"/>
    <col min="12050" max="12050" width="21.28515625" style="1" customWidth="1"/>
    <col min="12051" max="12293" width="9.140625" style="1"/>
    <col min="12294" max="12294" width="1.140625" style="1" customWidth="1"/>
    <col min="12295" max="12295" width="2.7109375" style="1" customWidth="1"/>
    <col min="12296" max="12296" width="40.42578125" style="1" customWidth="1"/>
    <col min="12297" max="12298" width="18.42578125" style="1" customWidth="1"/>
    <col min="12299" max="12299" width="18.85546875" style="1" customWidth="1"/>
    <col min="12300" max="12300" width="18.28515625" style="1" customWidth="1"/>
    <col min="12301" max="12301" width="17.140625" style="1" customWidth="1"/>
    <col min="12302" max="12302" width="9.140625" style="1"/>
    <col min="12303" max="12303" width="22" style="1" customWidth="1"/>
    <col min="12304" max="12304" width="20.28515625" style="1" customWidth="1"/>
    <col min="12305" max="12305" width="14.85546875" style="1" customWidth="1"/>
    <col min="12306" max="12306" width="21.28515625" style="1" customWidth="1"/>
    <col min="12307" max="12549" width="9.140625" style="1"/>
    <col min="12550" max="12550" width="1.140625" style="1" customWidth="1"/>
    <col min="12551" max="12551" width="2.7109375" style="1" customWidth="1"/>
    <col min="12552" max="12552" width="40.42578125" style="1" customWidth="1"/>
    <col min="12553" max="12554" width="18.42578125" style="1" customWidth="1"/>
    <col min="12555" max="12555" width="18.85546875" style="1" customWidth="1"/>
    <col min="12556" max="12556" width="18.28515625" style="1" customWidth="1"/>
    <col min="12557" max="12557" width="17.140625" style="1" customWidth="1"/>
    <col min="12558" max="12558" width="9.140625" style="1"/>
    <col min="12559" max="12559" width="22" style="1" customWidth="1"/>
    <col min="12560" max="12560" width="20.28515625" style="1" customWidth="1"/>
    <col min="12561" max="12561" width="14.85546875" style="1" customWidth="1"/>
    <col min="12562" max="12562" width="21.28515625" style="1" customWidth="1"/>
    <col min="12563" max="12805" width="9.140625" style="1"/>
    <col min="12806" max="12806" width="1.140625" style="1" customWidth="1"/>
    <col min="12807" max="12807" width="2.7109375" style="1" customWidth="1"/>
    <col min="12808" max="12808" width="40.42578125" style="1" customWidth="1"/>
    <col min="12809" max="12810" width="18.42578125" style="1" customWidth="1"/>
    <col min="12811" max="12811" width="18.85546875" style="1" customWidth="1"/>
    <col min="12812" max="12812" width="18.28515625" style="1" customWidth="1"/>
    <col min="12813" max="12813" width="17.140625" style="1" customWidth="1"/>
    <col min="12814" max="12814" width="9.140625" style="1"/>
    <col min="12815" max="12815" width="22" style="1" customWidth="1"/>
    <col min="12816" max="12816" width="20.28515625" style="1" customWidth="1"/>
    <col min="12817" max="12817" width="14.85546875" style="1" customWidth="1"/>
    <col min="12818" max="12818" width="21.28515625" style="1" customWidth="1"/>
    <col min="12819" max="13061" width="9.140625" style="1"/>
    <col min="13062" max="13062" width="1.140625" style="1" customWidth="1"/>
    <col min="13063" max="13063" width="2.7109375" style="1" customWidth="1"/>
    <col min="13064" max="13064" width="40.42578125" style="1" customWidth="1"/>
    <col min="13065" max="13066" width="18.42578125" style="1" customWidth="1"/>
    <col min="13067" max="13067" width="18.85546875" style="1" customWidth="1"/>
    <col min="13068" max="13068" width="18.28515625" style="1" customWidth="1"/>
    <col min="13069" max="13069" width="17.140625" style="1" customWidth="1"/>
    <col min="13070" max="13070" width="9.140625" style="1"/>
    <col min="13071" max="13071" width="22" style="1" customWidth="1"/>
    <col min="13072" max="13072" width="20.28515625" style="1" customWidth="1"/>
    <col min="13073" max="13073" width="14.85546875" style="1" customWidth="1"/>
    <col min="13074" max="13074" width="21.28515625" style="1" customWidth="1"/>
    <col min="13075" max="13317" width="9.140625" style="1"/>
    <col min="13318" max="13318" width="1.140625" style="1" customWidth="1"/>
    <col min="13319" max="13319" width="2.7109375" style="1" customWidth="1"/>
    <col min="13320" max="13320" width="40.42578125" style="1" customWidth="1"/>
    <col min="13321" max="13322" width="18.42578125" style="1" customWidth="1"/>
    <col min="13323" max="13323" width="18.85546875" style="1" customWidth="1"/>
    <col min="13324" max="13324" width="18.28515625" style="1" customWidth="1"/>
    <col min="13325" max="13325" width="17.140625" style="1" customWidth="1"/>
    <col min="13326" max="13326" width="9.140625" style="1"/>
    <col min="13327" max="13327" width="22" style="1" customWidth="1"/>
    <col min="13328" max="13328" width="20.28515625" style="1" customWidth="1"/>
    <col min="13329" max="13329" width="14.85546875" style="1" customWidth="1"/>
    <col min="13330" max="13330" width="21.28515625" style="1" customWidth="1"/>
    <col min="13331" max="13573" width="9.140625" style="1"/>
    <col min="13574" max="13574" width="1.140625" style="1" customWidth="1"/>
    <col min="13575" max="13575" width="2.7109375" style="1" customWidth="1"/>
    <col min="13576" max="13576" width="40.42578125" style="1" customWidth="1"/>
    <col min="13577" max="13578" width="18.42578125" style="1" customWidth="1"/>
    <col min="13579" max="13579" width="18.85546875" style="1" customWidth="1"/>
    <col min="13580" max="13580" width="18.28515625" style="1" customWidth="1"/>
    <col min="13581" max="13581" width="17.140625" style="1" customWidth="1"/>
    <col min="13582" max="13582" width="9.140625" style="1"/>
    <col min="13583" max="13583" width="22" style="1" customWidth="1"/>
    <col min="13584" max="13584" width="20.28515625" style="1" customWidth="1"/>
    <col min="13585" max="13585" width="14.85546875" style="1" customWidth="1"/>
    <col min="13586" max="13586" width="21.28515625" style="1" customWidth="1"/>
    <col min="13587" max="13829" width="9.140625" style="1"/>
    <col min="13830" max="13830" width="1.140625" style="1" customWidth="1"/>
    <col min="13831" max="13831" width="2.7109375" style="1" customWidth="1"/>
    <col min="13832" max="13832" width="40.42578125" style="1" customWidth="1"/>
    <col min="13833" max="13834" width="18.42578125" style="1" customWidth="1"/>
    <col min="13835" max="13835" width="18.85546875" style="1" customWidth="1"/>
    <col min="13836" max="13836" width="18.28515625" style="1" customWidth="1"/>
    <col min="13837" max="13837" width="17.140625" style="1" customWidth="1"/>
    <col min="13838" max="13838" width="9.140625" style="1"/>
    <col min="13839" max="13839" width="22" style="1" customWidth="1"/>
    <col min="13840" max="13840" width="20.28515625" style="1" customWidth="1"/>
    <col min="13841" max="13841" width="14.85546875" style="1" customWidth="1"/>
    <col min="13842" max="13842" width="21.28515625" style="1" customWidth="1"/>
    <col min="13843" max="14085" width="9.140625" style="1"/>
    <col min="14086" max="14086" width="1.140625" style="1" customWidth="1"/>
    <col min="14087" max="14087" width="2.7109375" style="1" customWidth="1"/>
    <col min="14088" max="14088" width="40.42578125" style="1" customWidth="1"/>
    <col min="14089" max="14090" width="18.42578125" style="1" customWidth="1"/>
    <col min="14091" max="14091" width="18.85546875" style="1" customWidth="1"/>
    <col min="14092" max="14092" width="18.28515625" style="1" customWidth="1"/>
    <col min="14093" max="14093" width="17.140625" style="1" customWidth="1"/>
    <col min="14094" max="14094" width="9.140625" style="1"/>
    <col min="14095" max="14095" width="22" style="1" customWidth="1"/>
    <col min="14096" max="14096" width="20.28515625" style="1" customWidth="1"/>
    <col min="14097" max="14097" width="14.85546875" style="1" customWidth="1"/>
    <col min="14098" max="14098" width="21.28515625" style="1" customWidth="1"/>
    <col min="14099" max="14341" width="9.140625" style="1"/>
    <col min="14342" max="14342" width="1.140625" style="1" customWidth="1"/>
    <col min="14343" max="14343" width="2.7109375" style="1" customWidth="1"/>
    <col min="14344" max="14344" width="40.42578125" style="1" customWidth="1"/>
    <col min="14345" max="14346" width="18.42578125" style="1" customWidth="1"/>
    <col min="14347" max="14347" width="18.85546875" style="1" customWidth="1"/>
    <col min="14348" max="14348" width="18.28515625" style="1" customWidth="1"/>
    <col min="14349" max="14349" width="17.140625" style="1" customWidth="1"/>
    <col min="14350" max="14350" width="9.140625" style="1"/>
    <col min="14351" max="14351" width="22" style="1" customWidth="1"/>
    <col min="14352" max="14352" width="20.28515625" style="1" customWidth="1"/>
    <col min="14353" max="14353" width="14.85546875" style="1" customWidth="1"/>
    <col min="14354" max="14354" width="21.28515625" style="1" customWidth="1"/>
    <col min="14355" max="14597" width="9.140625" style="1"/>
    <col min="14598" max="14598" width="1.140625" style="1" customWidth="1"/>
    <col min="14599" max="14599" width="2.7109375" style="1" customWidth="1"/>
    <col min="14600" max="14600" width="40.42578125" style="1" customWidth="1"/>
    <col min="14601" max="14602" width="18.42578125" style="1" customWidth="1"/>
    <col min="14603" max="14603" width="18.85546875" style="1" customWidth="1"/>
    <col min="14604" max="14604" width="18.28515625" style="1" customWidth="1"/>
    <col min="14605" max="14605" width="17.140625" style="1" customWidth="1"/>
    <col min="14606" max="14606" width="9.140625" style="1"/>
    <col min="14607" max="14607" width="22" style="1" customWidth="1"/>
    <col min="14608" max="14608" width="20.28515625" style="1" customWidth="1"/>
    <col min="14609" max="14609" width="14.85546875" style="1" customWidth="1"/>
    <col min="14610" max="14610" width="21.28515625" style="1" customWidth="1"/>
    <col min="14611" max="14853" width="9.140625" style="1"/>
    <col min="14854" max="14854" width="1.140625" style="1" customWidth="1"/>
    <col min="14855" max="14855" width="2.7109375" style="1" customWidth="1"/>
    <col min="14856" max="14856" width="40.42578125" style="1" customWidth="1"/>
    <col min="14857" max="14858" width="18.42578125" style="1" customWidth="1"/>
    <col min="14859" max="14859" width="18.85546875" style="1" customWidth="1"/>
    <col min="14860" max="14860" width="18.28515625" style="1" customWidth="1"/>
    <col min="14861" max="14861" width="17.140625" style="1" customWidth="1"/>
    <col min="14862" max="14862" width="9.140625" style="1"/>
    <col min="14863" max="14863" width="22" style="1" customWidth="1"/>
    <col min="14864" max="14864" width="20.28515625" style="1" customWidth="1"/>
    <col min="14865" max="14865" width="14.85546875" style="1" customWidth="1"/>
    <col min="14866" max="14866" width="21.28515625" style="1" customWidth="1"/>
    <col min="14867" max="15109" width="9.140625" style="1"/>
    <col min="15110" max="15110" width="1.140625" style="1" customWidth="1"/>
    <col min="15111" max="15111" width="2.7109375" style="1" customWidth="1"/>
    <col min="15112" max="15112" width="40.42578125" style="1" customWidth="1"/>
    <col min="15113" max="15114" width="18.42578125" style="1" customWidth="1"/>
    <col min="15115" max="15115" width="18.85546875" style="1" customWidth="1"/>
    <col min="15116" max="15116" width="18.28515625" style="1" customWidth="1"/>
    <col min="15117" max="15117" width="17.140625" style="1" customWidth="1"/>
    <col min="15118" max="15118" width="9.140625" style="1"/>
    <col min="15119" max="15119" width="22" style="1" customWidth="1"/>
    <col min="15120" max="15120" width="20.28515625" style="1" customWidth="1"/>
    <col min="15121" max="15121" width="14.85546875" style="1" customWidth="1"/>
    <col min="15122" max="15122" width="21.28515625" style="1" customWidth="1"/>
    <col min="15123" max="15365" width="9.140625" style="1"/>
    <col min="15366" max="15366" width="1.140625" style="1" customWidth="1"/>
    <col min="15367" max="15367" width="2.7109375" style="1" customWidth="1"/>
    <col min="15368" max="15368" width="40.42578125" style="1" customWidth="1"/>
    <col min="15369" max="15370" width="18.42578125" style="1" customWidth="1"/>
    <col min="15371" max="15371" width="18.85546875" style="1" customWidth="1"/>
    <col min="15372" max="15372" width="18.28515625" style="1" customWidth="1"/>
    <col min="15373" max="15373" width="17.140625" style="1" customWidth="1"/>
    <col min="15374" max="15374" width="9.140625" style="1"/>
    <col min="15375" max="15375" width="22" style="1" customWidth="1"/>
    <col min="15376" max="15376" width="20.28515625" style="1" customWidth="1"/>
    <col min="15377" max="15377" width="14.85546875" style="1" customWidth="1"/>
    <col min="15378" max="15378" width="21.28515625" style="1" customWidth="1"/>
    <col min="15379" max="15621" width="9.140625" style="1"/>
    <col min="15622" max="15622" width="1.140625" style="1" customWidth="1"/>
    <col min="15623" max="15623" width="2.7109375" style="1" customWidth="1"/>
    <col min="15624" max="15624" width="40.42578125" style="1" customWidth="1"/>
    <col min="15625" max="15626" width="18.42578125" style="1" customWidth="1"/>
    <col min="15627" max="15627" width="18.85546875" style="1" customWidth="1"/>
    <col min="15628" max="15628" width="18.28515625" style="1" customWidth="1"/>
    <col min="15629" max="15629" width="17.140625" style="1" customWidth="1"/>
    <col min="15630" max="15630" width="9.140625" style="1"/>
    <col min="15631" max="15631" width="22" style="1" customWidth="1"/>
    <col min="15632" max="15632" width="20.28515625" style="1" customWidth="1"/>
    <col min="15633" max="15633" width="14.85546875" style="1" customWidth="1"/>
    <col min="15634" max="15634" width="21.28515625" style="1" customWidth="1"/>
    <col min="15635" max="15877" width="9.140625" style="1"/>
    <col min="15878" max="15878" width="1.140625" style="1" customWidth="1"/>
    <col min="15879" max="15879" width="2.7109375" style="1" customWidth="1"/>
    <col min="15880" max="15880" width="40.42578125" style="1" customWidth="1"/>
    <col min="15881" max="15882" width="18.42578125" style="1" customWidth="1"/>
    <col min="15883" max="15883" width="18.85546875" style="1" customWidth="1"/>
    <col min="15884" max="15884" width="18.28515625" style="1" customWidth="1"/>
    <col min="15885" max="15885" width="17.140625" style="1" customWidth="1"/>
    <col min="15886" max="15886" width="9.140625" style="1"/>
    <col min="15887" max="15887" width="22" style="1" customWidth="1"/>
    <col min="15888" max="15888" width="20.28515625" style="1" customWidth="1"/>
    <col min="15889" max="15889" width="14.85546875" style="1" customWidth="1"/>
    <col min="15890" max="15890" width="21.28515625" style="1" customWidth="1"/>
    <col min="15891" max="16133" width="9.140625" style="1"/>
    <col min="16134" max="16134" width="1.140625" style="1" customWidth="1"/>
    <col min="16135" max="16135" width="2.7109375" style="1" customWidth="1"/>
    <col min="16136" max="16136" width="40.42578125" style="1" customWidth="1"/>
    <col min="16137" max="16138" width="18.42578125" style="1" customWidth="1"/>
    <col min="16139" max="16139" width="18.85546875" style="1" customWidth="1"/>
    <col min="16140" max="16140" width="18.28515625" style="1" customWidth="1"/>
    <col min="16141" max="16141" width="17.140625" style="1" customWidth="1"/>
    <col min="16142" max="16142" width="9.140625" style="1"/>
    <col min="16143" max="16143" width="22" style="1" customWidth="1"/>
    <col min="16144" max="16144" width="20.28515625" style="1" customWidth="1"/>
    <col min="16145" max="16145" width="14.85546875" style="1" customWidth="1"/>
    <col min="16146" max="16146" width="21.28515625" style="1" customWidth="1"/>
    <col min="16147" max="16384" width="9.140625" style="1"/>
  </cols>
  <sheetData>
    <row r="1" spans="1:17" ht="15" customHeight="1" thickBot="1">
      <c r="C1" s="588" t="s">
        <v>566</v>
      </c>
      <c r="D1" s="589"/>
      <c r="E1" s="589"/>
      <c r="F1" s="589"/>
      <c r="G1" s="589"/>
      <c r="H1" s="589"/>
      <c r="I1" s="589"/>
      <c r="J1" s="589"/>
      <c r="K1" s="589"/>
      <c r="L1" s="589"/>
      <c r="M1" s="589"/>
      <c r="N1" s="589"/>
      <c r="O1" s="589"/>
      <c r="P1" s="589"/>
      <c r="Q1" s="589"/>
    </row>
    <row r="2" spans="1:17" ht="13.5" thickTop="1">
      <c r="C2" s="590" t="s">
        <v>359</v>
      </c>
      <c r="D2" s="591"/>
      <c r="E2" s="591"/>
      <c r="F2" s="591"/>
      <c r="G2" s="591"/>
      <c r="H2" s="591"/>
      <c r="I2" s="591"/>
      <c r="J2" s="591"/>
      <c r="K2" s="591"/>
      <c r="L2" s="591"/>
      <c r="M2" s="591"/>
      <c r="N2" s="591"/>
      <c r="O2" s="591"/>
      <c r="P2" s="591"/>
      <c r="Q2" s="591"/>
    </row>
    <row r="3" spans="1:17">
      <c r="C3" s="592" t="s">
        <v>0</v>
      </c>
      <c r="D3" s="593"/>
      <c r="E3" s="593"/>
      <c r="F3" s="593"/>
      <c r="G3" s="593"/>
      <c r="H3" s="593"/>
      <c r="I3" s="593"/>
      <c r="J3" s="593"/>
      <c r="K3" s="593"/>
      <c r="L3" s="593"/>
      <c r="M3" s="593"/>
      <c r="N3" s="593"/>
      <c r="O3" s="594"/>
      <c r="P3" s="594"/>
      <c r="Q3" s="594"/>
    </row>
    <row r="4" spans="1:17">
      <c r="C4" s="220"/>
      <c r="F4" s="258"/>
      <c r="G4" s="221"/>
      <c r="H4" s="222" t="s">
        <v>1</v>
      </c>
      <c r="I4" s="223" t="s">
        <v>2</v>
      </c>
      <c r="J4" s="531"/>
      <c r="K4" s="224" t="s">
        <v>468</v>
      </c>
      <c r="L4" s="269"/>
      <c r="M4" s="270"/>
      <c r="N4" s="271"/>
      <c r="O4" s="261"/>
      <c r="P4" s="263"/>
      <c r="Q4" s="261"/>
    </row>
    <row r="5" spans="1:17">
      <c r="C5" s="220"/>
      <c r="F5" s="256" t="s">
        <v>1</v>
      </c>
      <c r="G5" s="182" t="s">
        <v>2</v>
      </c>
      <c r="H5" s="226" t="s">
        <v>1</v>
      </c>
      <c r="I5" s="182" t="s">
        <v>469</v>
      </c>
      <c r="J5" s="532" t="s">
        <v>3</v>
      </c>
      <c r="K5" s="165" t="s">
        <v>193</v>
      </c>
      <c r="L5" s="7"/>
      <c r="M5" s="225" t="s">
        <v>4</v>
      </c>
      <c r="O5" s="182" t="s">
        <v>3</v>
      </c>
      <c r="P5" s="182" t="s">
        <v>3</v>
      </c>
      <c r="Q5" s="182" t="s">
        <v>3</v>
      </c>
    </row>
    <row r="6" spans="1:17">
      <c r="C6" s="220"/>
      <c r="F6" s="260" t="s">
        <v>238</v>
      </c>
      <c r="G6" s="182" t="s">
        <v>469</v>
      </c>
      <c r="H6" s="182" t="s">
        <v>3</v>
      </c>
      <c r="I6" s="183" t="s">
        <v>567</v>
      </c>
      <c r="J6" s="533" t="s">
        <v>530</v>
      </c>
      <c r="K6" s="166" t="s">
        <v>5</v>
      </c>
      <c r="L6" s="9"/>
      <c r="M6" s="225" t="s">
        <v>5</v>
      </c>
      <c r="O6" s="183" t="s">
        <v>532</v>
      </c>
      <c r="P6" s="183" t="s">
        <v>534</v>
      </c>
      <c r="Q6" s="183" t="s">
        <v>569</v>
      </c>
    </row>
    <row r="7" spans="1:17">
      <c r="C7" s="220"/>
      <c r="F7" s="256" t="s">
        <v>1</v>
      </c>
      <c r="G7" s="176" t="s">
        <v>521</v>
      </c>
      <c r="H7" s="183" t="s">
        <v>528</v>
      </c>
      <c r="I7" s="183" t="s">
        <v>568</v>
      </c>
      <c r="J7" s="533" t="s">
        <v>470</v>
      </c>
      <c r="K7" s="165" t="s">
        <v>541</v>
      </c>
      <c r="L7" s="7"/>
      <c r="M7" s="225" t="s">
        <v>6</v>
      </c>
      <c r="O7" s="183" t="s">
        <v>529</v>
      </c>
      <c r="P7" s="183" t="s">
        <v>531</v>
      </c>
      <c r="Q7" s="183" t="s">
        <v>533</v>
      </c>
    </row>
    <row r="8" spans="1:17">
      <c r="C8" s="220"/>
      <c r="F8" s="256"/>
      <c r="G8" s="227" t="s">
        <v>434</v>
      </c>
      <c r="H8" s="182" t="s">
        <v>254</v>
      </c>
      <c r="I8" s="182" t="s">
        <v>430</v>
      </c>
      <c r="J8" s="534"/>
      <c r="K8" s="166" t="s">
        <v>1</v>
      </c>
      <c r="L8" s="143"/>
      <c r="M8" s="225"/>
      <c r="O8" s="266"/>
      <c r="P8" s="185"/>
      <c r="Q8" s="266"/>
    </row>
    <row r="9" spans="1:17">
      <c r="C9" s="228"/>
      <c r="D9" s="229"/>
      <c r="E9" s="229"/>
      <c r="F9" s="257"/>
      <c r="G9" s="230"/>
      <c r="H9" s="231"/>
      <c r="I9" s="231"/>
      <c r="J9" s="535" t="s">
        <v>1</v>
      </c>
      <c r="K9" s="232"/>
      <c r="L9" s="233"/>
      <c r="M9" s="234"/>
      <c r="O9" s="262"/>
      <c r="P9" s="264"/>
      <c r="Q9" s="262"/>
    </row>
    <row r="10" spans="1:17">
      <c r="C10" s="129" t="s">
        <v>239</v>
      </c>
      <c r="D10" s="129" t="s">
        <v>240</v>
      </c>
      <c r="E10" s="129" t="s">
        <v>241</v>
      </c>
      <c r="F10" s="494"/>
      <c r="G10" s="235" t="s">
        <v>7</v>
      </c>
      <c r="H10" s="222" t="s">
        <v>7</v>
      </c>
      <c r="I10" s="222" t="s">
        <v>7</v>
      </c>
      <c r="J10" s="536" t="s">
        <v>7</v>
      </c>
      <c r="K10" s="236" t="s">
        <v>7</v>
      </c>
      <c r="L10" s="143"/>
      <c r="M10" s="8"/>
      <c r="O10" s="236" t="s">
        <v>7</v>
      </c>
      <c r="P10" s="236" t="s">
        <v>7</v>
      </c>
      <c r="Q10" s="236" t="s">
        <v>7</v>
      </c>
    </row>
    <row r="11" spans="1:17">
      <c r="F11" s="495" t="s">
        <v>432</v>
      </c>
      <c r="G11" s="237"/>
      <c r="H11" s="226"/>
      <c r="I11" s="334"/>
      <c r="J11" s="534"/>
      <c r="K11" s="173"/>
      <c r="L11" s="143"/>
      <c r="M11" s="8"/>
      <c r="O11" s="266"/>
      <c r="P11" s="185"/>
      <c r="Q11" s="266"/>
    </row>
    <row r="12" spans="1:17">
      <c r="A12" s="128">
        <v>20012</v>
      </c>
      <c r="B12" s="130" t="s">
        <v>196</v>
      </c>
      <c r="C12" s="129">
        <v>11</v>
      </c>
      <c r="D12" s="130" t="s">
        <v>242</v>
      </c>
      <c r="E12" s="130" t="s">
        <v>208</v>
      </c>
      <c r="F12" s="483" t="s">
        <v>10</v>
      </c>
      <c r="G12" s="238">
        <v>47155955181.580002</v>
      </c>
      <c r="H12" s="202">
        <v>47200478898.809998</v>
      </c>
      <c r="I12" s="353">
        <v>36894792355.589996</v>
      </c>
      <c r="J12" s="521">
        <v>59246035025</v>
      </c>
      <c r="K12" s="238">
        <f>J12-H12</f>
        <v>12045556126.190002</v>
      </c>
      <c r="L12" s="239"/>
      <c r="M12" s="239" t="s">
        <v>7</v>
      </c>
      <c r="N12" s="240"/>
      <c r="O12" s="210"/>
      <c r="P12" s="210"/>
      <c r="Q12" s="210"/>
    </row>
    <row r="13" spans="1:17">
      <c r="A13" s="128">
        <v>20056</v>
      </c>
      <c r="B13" s="130" t="s">
        <v>196</v>
      </c>
      <c r="C13" s="129">
        <v>11</v>
      </c>
      <c r="D13" s="130" t="s">
        <v>208</v>
      </c>
      <c r="E13" s="130" t="s">
        <v>208</v>
      </c>
      <c r="F13" s="483" t="s">
        <v>243</v>
      </c>
      <c r="G13" s="238">
        <v>71223072081.220001</v>
      </c>
      <c r="H13" s="202">
        <v>68513545370.139999</v>
      </c>
      <c r="I13" s="353">
        <f>34516413904.54+1683433145.67</f>
        <v>36199847050.209999</v>
      </c>
      <c r="J13" s="521">
        <f>76752478566.67+770200000</f>
        <v>77522678566.669998</v>
      </c>
      <c r="K13" s="238">
        <f t="shared" ref="K13:K41" si="0">J13-H13</f>
        <v>9009133196.5299988</v>
      </c>
      <c r="L13" s="241"/>
      <c r="M13" s="241"/>
      <c r="N13" s="240"/>
      <c r="O13" s="210"/>
      <c r="P13" s="210"/>
      <c r="Q13" s="210"/>
    </row>
    <row r="14" spans="1:17">
      <c r="A14" s="128">
        <v>20056</v>
      </c>
      <c r="B14" s="130" t="s">
        <v>196</v>
      </c>
      <c r="C14" s="129">
        <v>11</v>
      </c>
      <c r="D14" s="130" t="s">
        <v>208</v>
      </c>
      <c r="E14" s="130" t="s">
        <v>215</v>
      </c>
      <c r="F14" s="483" t="s">
        <v>348</v>
      </c>
      <c r="G14" s="238">
        <v>74095360318.059998</v>
      </c>
      <c r="H14" s="202">
        <v>78652286721.779999</v>
      </c>
      <c r="I14" s="353">
        <f>2551077109.67+53076342900.28</f>
        <v>55627420009.949997</v>
      </c>
      <c r="J14" s="521">
        <f>82661651000+6327635500</f>
        <v>88989286500</v>
      </c>
      <c r="K14" s="238">
        <f t="shared" si="0"/>
        <v>10336999778.220001</v>
      </c>
      <c r="L14" s="241"/>
      <c r="M14" s="241"/>
      <c r="N14" s="240"/>
      <c r="O14" s="210"/>
      <c r="P14" s="210"/>
      <c r="Q14" s="210"/>
    </row>
    <row r="15" spans="1:17">
      <c r="A15" s="128">
        <v>20056</v>
      </c>
      <c r="B15" s="130" t="s">
        <v>196</v>
      </c>
      <c r="C15" s="129">
        <v>11</v>
      </c>
      <c r="D15" s="130" t="s">
        <v>215</v>
      </c>
      <c r="E15" s="130" t="s">
        <v>208</v>
      </c>
      <c r="F15" s="483" t="s">
        <v>12</v>
      </c>
      <c r="G15" s="238">
        <v>22807904631.299999</v>
      </c>
      <c r="H15" s="202">
        <v>19346034869.959999</v>
      </c>
      <c r="I15" s="353">
        <v>14940172804.09</v>
      </c>
      <c r="J15" s="521">
        <f>20713700000+2365132000</f>
        <v>23078832000</v>
      </c>
      <c r="K15" s="238">
        <f t="shared" si="0"/>
        <v>3732797130.0400009</v>
      </c>
      <c r="L15" s="241"/>
      <c r="M15" s="241"/>
      <c r="N15" s="240"/>
      <c r="O15" s="210"/>
      <c r="P15" s="210"/>
      <c r="Q15" s="210"/>
    </row>
    <row r="16" spans="1:17">
      <c r="A16" s="128">
        <v>20012</v>
      </c>
      <c r="B16" s="130" t="s">
        <v>196</v>
      </c>
      <c r="C16" s="129">
        <v>11</v>
      </c>
      <c r="D16" s="130">
        <v>19</v>
      </c>
      <c r="E16" s="130" t="s">
        <v>208</v>
      </c>
      <c r="F16" s="483" t="s">
        <v>514</v>
      </c>
      <c r="G16" s="238">
        <v>2920572113.8099999</v>
      </c>
      <c r="H16" s="202">
        <v>5142931703.71</v>
      </c>
      <c r="I16" s="353">
        <v>4507697825.2299995</v>
      </c>
      <c r="J16" s="521">
        <v>6490290800</v>
      </c>
      <c r="K16" s="238">
        <f t="shared" si="0"/>
        <v>1347359096.29</v>
      </c>
      <c r="L16" s="241"/>
      <c r="M16" s="241"/>
      <c r="N16" s="240"/>
      <c r="O16" s="210"/>
      <c r="P16" s="210"/>
      <c r="Q16" s="210"/>
    </row>
    <row r="17" spans="1:20">
      <c r="A17" s="128">
        <v>20056</v>
      </c>
      <c r="B17" s="130" t="s">
        <v>196</v>
      </c>
      <c r="C17" s="129">
        <v>11</v>
      </c>
      <c r="D17" s="129">
        <v>19</v>
      </c>
      <c r="E17" s="130" t="s">
        <v>208</v>
      </c>
      <c r="F17" s="483" t="s">
        <v>515</v>
      </c>
      <c r="G17" s="238">
        <v>5462677521.0299997</v>
      </c>
      <c r="H17" s="202">
        <v>2310120102.6799998</v>
      </c>
      <c r="I17" s="353">
        <v>2263378921.7399998</v>
      </c>
      <c r="J17" s="521">
        <v>3591424675</v>
      </c>
      <c r="K17" s="238">
        <f t="shared" si="0"/>
        <v>1281304572.3200002</v>
      </c>
      <c r="L17" s="241"/>
      <c r="M17" s="241"/>
      <c r="N17" s="240"/>
      <c r="O17" s="210"/>
      <c r="P17" s="210"/>
      <c r="Q17" s="210"/>
    </row>
    <row r="18" spans="1:20">
      <c r="A18" s="128">
        <v>20056</v>
      </c>
      <c r="B18" s="130" t="s">
        <v>196</v>
      </c>
      <c r="C18" s="129">
        <v>11</v>
      </c>
      <c r="D18" s="129">
        <v>25</v>
      </c>
      <c r="E18" s="130" t="s">
        <v>208</v>
      </c>
      <c r="F18" s="483" t="s">
        <v>349</v>
      </c>
      <c r="G18" s="238">
        <v>4919511149.79</v>
      </c>
      <c r="H18" s="202">
        <v>4745650759.6800003</v>
      </c>
      <c r="I18" s="353">
        <v>3874334299.9699998</v>
      </c>
      <c r="J18" s="521">
        <v>5132047500</v>
      </c>
      <c r="K18" s="238">
        <f t="shared" si="0"/>
        <v>386396740.31999969</v>
      </c>
      <c r="L18" s="241">
        <v>29512468806.279999</v>
      </c>
      <c r="M18" s="241"/>
      <c r="N18" s="240"/>
      <c r="O18" s="210"/>
      <c r="P18" s="210"/>
      <c r="Q18" s="210"/>
    </row>
    <row r="19" spans="1:20">
      <c r="A19" s="128">
        <v>20012</v>
      </c>
      <c r="B19" s="130" t="s">
        <v>196</v>
      </c>
      <c r="C19" s="129">
        <v>11</v>
      </c>
      <c r="D19" s="129">
        <v>30</v>
      </c>
      <c r="E19" s="130" t="s">
        <v>207</v>
      </c>
      <c r="F19" s="483" t="s">
        <v>13</v>
      </c>
      <c r="G19" s="238">
        <v>595803.43999999994</v>
      </c>
      <c r="H19" s="489">
        <v>1131964.329168773</v>
      </c>
      <c r="I19" s="353">
        <v>1117984.3600000001</v>
      </c>
      <c r="J19" s="537">
        <v>2866368.9873370207</v>
      </c>
      <c r="K19" s="238">
        <f t="shared" si="0"/>
        <v>1734404.6581682477</v>
      </c>
      <c r="L19" s="241">
        <v>8369141.7599999998</v>
      </c>
      <c r="M19" s="241" t="e">
        <f>#REF!-#REF!</f>
        <v>#REF!</v>
      </c>
      <c r="N19" s="240"/>
      <c r="O19" s="210"/>
      <c r="P19" s="210"/>
      <c r="Q19" s="210"/>
      <c r="R19" s="238"/>
      <c r="T19" s="329"/>
    </row>
    <row r="20" spans="1:20">
      <c r="A20" s="128">
        <v>20056</v>
      </c>
      <c r="B20" s="130" t="s">
        <v>196</v>
      </c>
      <c r="C20" s="129">
        <v>11</v>
      </c>
      <c r="D20" s="129">
        <v>30</v>
      </c>
      <c r="E20" s="130" t="s">
        <v>221</v>
      </c>
      <c r="F20" s="483" t="s">
        <v>245</v>
      </c>
      <c r="G20" s="238">
        <v>300464972.94</v>
      </c>
      <c r="H20" s="489">
        <v>502821741.57547498</v>
      </c>
      <c r="I20" s="353">
        <v>236681692.80000001</v>
      </c>
      <c r="J20" s="537">
        <v>1273249173.2041507</v>
      </c>
      <c r="K20" s="238">
        <f t="shared" si="0"/>
        <v>770427431.6286757</v>
      </c>
      <c r="L20" s="241"/>
      <c r="M20" s="241"/>
      <c r="N20" s="240"/>
      <c r="O20" s="210"/>
      <c r="P20" s="210"/>
      <c r="Q20" s="210"/>
      <c r="R20" s="238"/>
      <c r="T20" s="329"/>
    </row>
    <row r="21" spans="1:20">
      <c r="A21" s="128">
        <v>20056</v>
      </c>
      <c r="B21" s="130" t="s">
        <v>196</v>
      </c>
      <c r="C21" s="129">
        <v>11</v>
      </c>
      <c r="D21" s="129">
        <v>30</v>
      </c>
      <c r="E21" s="130" t="s">
        <v>231</v>
      </c>
      <c r="F21" s="483" t="s">
        <v>14</v>
      </c>
      <c r="G21" s="238">
        <v>8064842.9900000002</v>
      </c>
      <c r="H21" s="489">
        <v>15322359.644359946</v>
      </c>
      <c r="I21" s="353">
        <v>93121110.599999994</v>
      </c>
      <c r="J21" s="537">
        <v>38799399.738743328</v>
      </c>
      <c r="K21" s="238">
        <f t="shared" si="0"/>
        <v>23477040.094383381</v>
      </c>
      <c r="L21" s="241">
        <v>29520837948.039997</v>
      </c>
      <c r="M21" s="241" t="e">
        <f>SUM(M18:M19)</f>
        <v>#REF!</v>
      </c>
      <c r="N21" s="240"/>
      <c r="O21" s="210"/>
      <c r="P21" s="210"/>
      <c r="Q21" s="210"/>
      <c r="R21" s="238"/>
      <c r="T21" s="329"/>
    </row>
    <row r="22" spans="1:20">
      <c r="A22" s="128">
        <v>20056</v>
      </c>
      <c r="B22" s="130" t="s">
        <v>196</v>
      </c>
      <c r="C22" s="129">
        <v>11</v>
      </c>
      <c r="D22" s="129">
        <v>30</v>
      </c>
      <c r="E22" s="130" t="s">
        <v>347</v>
      </c>
      <c r="F22" s="483" t="s">
        <v>15</v>
      </c>
      <c r="G22" s="238">
        <v>13221606.83</v>
      </c>
      <c r="H22" s="489">
        <v>25119672.531353999</v>
      </c>
      <c r="I22" s="353">
        <v>58409030.710000001</v>
      </c>
      <c r="J22" s="537">
        <v>63608232.574614443</v>
      </c>
      <c r="K22" s="238">
        <f t="shared" si="0"/>
        <v>38488560.04326044</v>
      </c>
      <c r="L22" s="241"/>
      <c r="M22" s="241"/>
      <c r="N22" s="240"/>
      <c r="O22" s="210"/>
      <c r="P22" s="210"/>
      <c r="Q22" s="210"/>
      <c r="R22" s="238"/>
      <c r="T22" s="329"/>
    </row>
    <row r="23" spans="1:20">
      <c r="A23" s="128">
        <v>20056</v>
      </c>
      <c r="B23" s="130" t="s">
        <v>196</v>
      </c>
      <c r="C23" s="129">
        <v>11</v>
      </c>
      <c r="D23" s="129">
        <v>30</v>
      </c>
      <c r="E23" s="129">
        <v>11</v>
      </c>
      <c r="F23" s="483" t="s">
        <v>16</v>
      </c>
      <c r="G23" s="238">
        <v>4941702.2699999996</v>
      </c>
      <c r="H23" s="489">
        <v>9388718.3582094666</v>
      </c>
      <c r="I23" s="353">
        <v>4741864.1500000004</v>
      </c>
      <c r="J23" s="537">
        <v>23774186.552835204</v>
      </c>
      <c r="K23" s="238">
        <f t="shared" si="0"/>
        <v>14385468.194625737</v>
      </c>
      <c r="L23" s="241"/>
      <c r="M23" s="241"/>
      <c r="N23" s="240"/>
      <c r="O23" s="210"/>
      <c r="P23" s="210"/>
      <c r="Q23" s="210"/>
      <c r="R23" s="238"/>
      <c r="T23" s="329"/>
    </row>
    <row r="24" spans="1:20">
      <c r="A24" s="128">
        <v>20056</v>
      </c>
      <c r="B24" s="130" t="s">
        <v>196</v>
      </c>
      <c r="C24" s="129">
        <v>11</v>
      </c>
      <c r="D24" s="129">
        <v>30</v>
      </c>
      <c r="E24" s="130">
        <v>99</v>
      </c>
      <c r="F24" s="483" t="s">
        <v>246</v>
      </c>
      <c r="G24" s="238">
        <v>29982522.640000001</v>
      </c>
      <c r="H24" s="489">
        <v>56963662.591433093</v>
      </c>
      <c r="I24" s="353">
        <f>10242638.1</f>
        <v>10242638.1</v>
      </c>
      <c r="J24" s="537">
        <v>144243834.94231939</v>
      </c>
      <c r="K24" s="238">
        <f t="shared" si="0"/>
        <v>87280172.3508863</v>
      </c>
      <c r="L24" s="241"/>
      <c r="M24" s="241"/>
      <c r="N24" s="240"/>
      <c r="O24" s="210"/>
      <c r="P24" s="210"/>
      <c r="Q24" s="210"/>
      <c r="R24" s="238"/>
      <c r="T24" s="329"/>
    </row>
    <row r="25" spans="1:20">
      <c r="A25" s="128">
        <v>20012</v>
      </c>
      <c r="B25" s="130" t="s">
        <v>196</v>
      </c>
      <c r="C25" s="129">
        <v>11</v>
      </c>
      <c r="D25" s="130">
        <v>53</v>
      </c>
      <c r="E25" s="130" t="s">
        <v>208</v>
      </c>
      <c r="F25" s="483" t="s">
        <v>247</v>
      </c>
      <c r="G25" s="238">
        <v>16068252844.860001</v>
      </c>
      <c r="H25" s="202">
        <v>3549614545.4499998</v>
      </c>
      <c r="I25" s="353">
        <v>7485943142.3699999</v>
      </c>
      <c r="J25" s="521">
        <f>15799100000*0.727</f>
        <v>11485945700</v>
      </c>
      <c r="K25" s="238">
        <f t="shared" si="0"/>
        <v>7936331154.5500002</v>
      </c>
      <c r="L25" s="241">
        <v>42196693458.389999</v>
      </c>
      <c r="M25" s="241" t="e">
        <f>#REF!-#REF!</f>
        <v>#REF!</v>
      </c>
      <c r="N25" s="240"/>
      <c r="O25" s="210"/>
      <c r="P25" s="327"/>
      <c r="Q25" s="326"/>
      <c r="T25" s="329"/>
    </row>
    <row r="26" spans="1:20">
      <c r="A26" s="128">
        <v>20012</v>
      </c>
      <c r="B26" s="130" t="s">
        <v>196</v>
      </c>
      <c r="C26" s="129">
        <v>11</v>
      </c>
      <c r="D26" s="130">
        <v>53</v>
      </c>
      <c r="E26" s="130" t="s">
        <v>215</v>
      </c>
      <c r="F26" s="483" t="s">
        <v>190</v>
      </c>
      <c r="G26" s="238">
        <v>6443587155.1400003</v>
      </c>
      <c r="H26" s="202">
        <v>1331105455</v>
      </c>
      <c r="I26" s="353">
        <v>3755270513.4299998</v>
      </c>
      <c r="J26" s="521">
        <f>15799100000*0.273</f>
        <v>4313154300</v>
      </c>
      <c r="K26" s="238">
        <f t="shared" si="0"/>
        <v>2982048845</v>
      </c>
      <c r="L26" s="241">
        <v>76878801727.820007</v>
      </c>
      <c r="M26" s="241" t="e">
        <f>#REF!-#REF!</f>
        <v>#REF!</v>
      </c>
      <c r="N26" s="240"/>
      <c r="O26" s="210"/>
      <c r="P26" s="210"/>
      <c r="Q26" s="210"/>
      <c r="R26" s="328"/>
      <c r="T26" s="329"/>
    </row>
    <row r="27" spans="1:20" ht="25.5">
      <c r="A27" s="128">
        <v>20056</v>
      </c>
      <c r="B27" s="130" t="s">
        <v>196</v>
      </c>
      <c r="C27" s="129">
        <v>11</v>
      </c>
      <c r="D27" s="130">
        <v>20</v>
      </c>
      <c r="E27" s="130" t="s">
        <v>208</v>
      </c>
      <c r="F27" s="483" t="s">
        <v>248</v>
      </c>
      <c r="G27" s="238">
        <v>6730427193.6300001</v>
      </c>
      <c r="H27" s="202">
        <v>7333722323.3999996</v>
      </c>
      <c r="I27" s="353">
        <v>5502561219.3400002</v>
      </c>
      <c r="J27" s="521">
        <v>8023787100</v>
      </c>
      <c r="K27" s="238">
        <f t="shared" si="0"/>
        <v>690064776.60000038</v>
      </c>
      <c r="L27" s="241"/>
      <c r="M27" s="241" t="e">
        <f>#REF!-#REF!</f>
        <v>#REF!</v>
      </c>
      <c r="N27" s="240"/>
      <c r="O27" s="210"/>
      <c r="P27" s="210"/>
      <c r="Q27" s="210"/>
    </row>
    <row r="28" spans="1:20">
      <c r="A28" s="128">
        <v>20056</v>
      </c>
      <c r="B28" s="130" t="s">
        <v>196</v>
      </c>
      <c r="C28" s="129">
        <v>11</v>
      </c>
      <c r="D28" s="130" t="s">
        <v>200</v>
      </c>
      <c r="E28" s="130" t="s">
        <v>208</v>
      </c>
      <c r="F28" s="483" t="s">
        <v>249</v>
      </c>
      <c r="G28" s="238">
        <v>34449108534.870003</v>
      </c>
      <c r="H28" s="202">
        <v>34219754197.540001</v>
      </c>
      <c r="I28" s="353">
        <v>24133065480.310001</v>
      </c>
      <c r="J28" s="521">
        <v>36700287000</v>
      </c>
      <c r="K28" s="238">
        <f t="shared" si="0"/>
        <v>2480532802.4599991</v>
      </c>
      <c r="L28" s="241">
        <v>11801001471.74</v>
      </c>
      <c r="M28" s="241" t="e">
        <f>#REF!-#REF!</f>
        <v>#REF!</v>
      </c>
      <c r="N28" s="240"/>
      <c r="O28" s="210"/>
      <c r="P28" s="210"/>
      <c r="Q28" s="210"/>
    </row>
    <row r="29" spans="1:20">
      <c r="A29" s="128">
        <v>20056</v>
      </c>
      <c r="B29" s="130" t="s">
        <v>196</v>
      </c>
      <c r="C29" s="129">
        <v>11</v>
      </c>
      <c r="D29" s="130" t="s">
        <v>203</v>
      </c>
      <c r="E29" s="130" t="s">
        <v>208</v>
      </c>
      <c r="F29" s="483" t="s">
        <v>253</v>
      </c>
      <c r="G29" s="238">
        <v>2463060887</v>
      </c>
      <c r="H29" s="202">
        <v>2119444443.3199999</v>
      </c>
      <c r="I29" s="353">
        <v>1537099570.6400001</v>
      </c>
      <c r="J29" s="521">
        <v>2540120700</v>
      </c>
      <c r="K29" s="238">
        <f t="shared" si="0"/>
        <v>420676256.68000007</v>
      </c>
      <c r="L29" s="241"/>
      <c r="M29" s="241" t="s">
        <v>1</v>
      </c>
      <c r="N29" s="240"/>
      <c r="O29" s="210"/>
      <c r="P29" s="210"/>
      <c r="Q29" s="210"/>
    </row>
    <row r="30" spans="1:20">
      <c r="A30" s="128">
        <v>20012</v>
      </c>
      <c r="B30" s="130" t="s">
        <v>196</v>
      </c>
      <c r="C30" s="129">
        <v>11</v>
      </c>
      <c r="D30" s="130">
        <v>15</v>
      </c>
      <c r="E30" s="130" t="s">
        <v>208</v>
      </c>
      <c r="F30" s="483" t="s">
        <v>342</v>
      </c>
      <c r="G30" s="238">
        <v>116412966100.91</v>
      </c>
      <c r="H30" s="202">
        <v>111850355567.88</v>
      </c>
      <c r="I30" s="353">
        <v>76960298144.160004</v>
      </c>
      <c r="J30" s="521">
        <v>119622219900</v>
      </c>
      <c r="K30" s="238">
        <f t="shared" si="0"/>
        <v>7771864332.1199951</v>
      </c>
      <c r="L30" s="241"/>
      <c r="M30" s="241"/>
      <c r="N30" s="240"/>
      <c r="O30" s="210"/>
      <c r="P30" s="210"/>
      <c r="Q30" s="210"/>
    </row>
    <row r="31" spans="1:20">
      <c r="A31" s="128">
        <v>20056</v>
      </c>
      <c r="B31" s="130" t="s">
        <v>196</v>
      </c>
      <c r="C31" s="129">
        <v>11</v>
      </c>
      <c r="D31" s="130">
        <v>15</v>
      </c>
      <c r="E31" s="130" t="s">
        <v>208</v>
      </c>
      <c r="F31" s="483" t="s">
        <v>342</v>
      </c>
      <c r="G31" s="238">
        <v>97273374251.539993</v>
      </c>
      <c r="H31" s="202">
        <v>91466981046</v>
      </c>
      <c r="I31" s="353">
        <v>72985353221.050003</v>
      </c>
      <c r="J31" s="521">
        <v>117964845900</v>
      </c>
      <c r="K31" s="238">
        <f t="shared" si="0"/>
        <v>26497864854</v>
      </c>
      <c r="L31" s="241"/>
      <c r="M31" s="241"/>
      <c r="N31" s="240"/>
      <c r="O31" s="210"/>
      <c r="P31" s="210"/>
      <c r="Q31" s="210"/>
    </row>
    <row r="32" spans="1:20">
      <c r="A32" s="128">
        <v>20012</v>
      </c>
      <c r="B32" s="130" t="s">
        <v>196</v>
      </c>
      <c r="C32" s="129">
        <v>11</v>
      </c>
      <c r="D32" s="130">
        <v>16</v>
      </c>
      <c r="E32" s="130" t="s">
        <v>208</v>
      </c>
      <c r="F32" s="483" t="s">
        <v>343</v>
      </c>
      <c r="G32" s="238">
        <v>31857545353.34</v>
      </c>
      <c r="H32" s="202">
        <v>31305986400</v>
      </c>
      <c r="I32" s="353">
        <v>22121623046.220001</v>
      </c>
      <c r="J32" s="521">
        <v>29777600000</v>
      </c>
      <c r="K32" s="238">
        <f t="shared" si="0"/>
        <v>-1528386400</v>
      </c>
      <c r="L32" s="241"/>
      <c r="M32" s="241"/>
      <c r="N32" s="240"/>
      <c r="O32" s="210"/>
      <c r="P32" s="210"/>
      <c r="Q32" s="210"/>
    </row>
    <row r="33" spans="1:20">
      <c r="A33" s="128">
        <v>20056</v>
      </c>
      <c r="B33" s="130" t="s">
        <v>196</v>
      </c>
      <c r="C33" s="129">
        <v>11</v>
      </c>
      <c r="D33" s="130">
        <v>16</v>
      </c>
      <c r="E33" s="130" t="s">
        <v>208</v>
      </c>
      <c r="F33" s="483" t="s">
        <v>343</v>
      </c>
      <c r="G33" s="238">
        <v>51490723367.900002</v>
      </c>
      <c r="H33" s="202">
        <v>52681800000</v>
      </c>
      <c r="I33" s="353">
        <v>38820373800.459999</v>
      </c>
      <c r="J33" s="521">
        <v>62295200000</v>
      </c>
      <c r="K33" s="238">
        <f t="shared" si="0"/>
        <v>9613400000</v>
      </c>
      <c r="L33" s="241"/>
      <c r="M33" s="241"/>
      <c r="N33" s="240"/>
      <c r="O33" s="210"/>
      <c r="P33" s="210"/>
      <c r="Q33" s="210"/>
    </row>
    <row r="34" spans="1:20">
      <c r="A34" s="128">
        <v>20012</v>
      </c>
      <c r="B34" s="130" t="s">
        <v>196</v>
      </c>
      <c r="C34" s="129">
        <v>11</v>
      </c>
      <c r="D34" s="130">
        <v>32</v>
      </c>
      <c r="E34" s="130" t="s">
        <v>208</v>
      </c>
      <c r="F34" s="483" t="s">
        <v>344</v>
      </c>
      <c r="G34" s="238">
        <v>3805926468.5599999</v>
      </c>
      <c r="H34" s="202">
        <v>627770606.32000005</v>
      </c>
      <c r="I34" s="353">
        <v>480337578.54000002</v>
      </c>
      <c r="J34" s="521">
        <v>731000000</v>
      </c>
      <c r="K34" s="238">
        <f t="shared" si="0"/>
        <v>103229393.67999995</v>
      </c>
      <c r="L34" s="241">
        <v>12022404539.059999</v>
      </c>
      <c r="M34" s="241">
        <f>SUM(M33:M33)</f>
        <v>0</v>
      </c>
      <c r="N34" s="240"/>
      <c r="O34" s="210"/>
      <c r="P34" s="210"/>
      <c r="Q34" s="210"/>
    </row>
    <row r="35" spans="1:20">
      <c r="A35" s="128">
        <v>20056</v>
      </c>
      <c r="B35" s="130" t="s">
        <v>196</v>
      </c>
      <c r="C35" s="129">
        <v>11</v>
      </c>
      <c r="D35" s="130">
        <v>32</v>
      </c>
      <c r="E35" s="130" t="s">
        <v>208</v>
      </c>
      <c r="F35" s="483" t="s">
        <v>344</v>
      </c>
      <c r="G35" s="238">
        <v>637363473.65999997</v>
      </c>
      <c r="H35" s="202">
        <v>3586630919.1100001</v>
      </c>
      <c r="I35" s="353">
        <v>3273659800.46</v>
      </c>
      <c r="J35" s="521">
        <v>4759770000</v>
      </c>
      <c r="K35" s="238">
        <f t="shared" si="0"/>
        <v>1173139080.8899999</v>
      </c>
      <c r="L35" s="241"/>
      <c r="M35" s="241"/>
      <c r="N35" s="240"/>
      <c r="O35" s="210"/>
      <c r="P35" s="210"/>
      <c r="Q35" s="210"/>
    </row>
    <row r="36" spans="1:20">
      <c r="A36" s="128">
        <v>20056</v>
      </c>
      <c r="B36" s="130" t="s">
        <v>196</v>
      </c>
      <c r="C36" s="129">
        <v>11</v>
      </c>
      <c r="D36" s="130">
        <v>35</v>
      </c>
      <c r="E36" s="130" t="s">
        <v>208</v>
      </c>
      <c r="F36" s="483" t="s">
        <v>250</v>
      </c>
      <c r="G36" s="238">
        <v>2510240000</v>
      </c>
      <c r="H36" s="202">
        <v>3354650876</v>
      </c>
      <c r="I36" s="353">
        <v>2572484863.4499998</v>
      </c>
      <c r="J36" s="521">
        <v>3219695000</v>
      </c>
      <c r="K36" s="238">
        <f t="shared" si="0"/>
        <v>-134955876</v>
      </c>
      <c r="L36" s="241"/>
      <c r="M36" s="241"/>
      <c r="N36" s="240"/>
      <c r="O36" s="210"/>
      <c r="P36" s="210"/>
      <c r="Q36" s="210"/>
      <c r="T36" s="10"/>
    </row>
    <row r="37" spans="1:20">
      <c r="A37" s="128">
        <v>20056</v>
      </c>
      <c r="B37" s="130" t="s">
        <v>196</v>
      </c>
      <c r="C37" s="129">
        <v>11</v>
      </c>
      <c r="D37" s="130">
        <v>20</v>
      </c>
      <c r="E37" s="130" t="s">
        <v>208</v>
      </c>
      <c r="F37" s="483" t="s">
        <v>350</v>
      </c>
      <c r="G37" s="238">
        <v>3115380908</v>
      </c>
      <c r="H37" s="202">
        <v>645600000</v>
      </c>
      <c r="I37" s="353">
        <v>1561850518.1099999</v>
      </c>
      <c r="J37" s="521">
        <v>2577234700</v>
      </c>
      <c r="K37" s="238">
        <f t="shared" si="0"/>
        <v>1931634700</v>
      </c>
      <c r="L37" s="241"/>
      <c r="M37" s="241"/>
      <c r="N37" s="240"/>
      <c r="O37" s="210"/>
      <c r="P37" s="210"/>
      <c r="Q37" s="210"/>
    </row>
    <row r="38" spans="1:20">
      <c r="A38" s="128">
        <v>20056</v>
      </c>
      <c r="B38" s="130" t="s">
        <v>196</v>
      </c>
      <c r="C38" s="129">
        <v>11</v>
      </c>
      <c r="D38" s="130">
        <v>62</v>
      </c>
      <c r="E38" s="130" t="s">
        <v>208</v>
      </c>
      <c r="F38" s="483" t="s">
        <v>18</v>
      </c>
      <c r="G38" s="238">
        <v>0</v>
      </c>
      <c r="H38" s="202">
        <v>0</v>
      </c>
      <c r="I38" s="353">
        <v>106930073.13</v>
      </c>
      <c r="J38" s="521"/>
      <c r="K38" s="238">
        <f t="shared" si="0"/>
        <v>0</v>
      </c>
      <c r="L38" s="241">
        <v>2966636851.3400002</v>
      </c>
      <c r="M38" s="241" t="e">
        <f>#REF!-#REF!</f>
        <v>#REF!</v>
      </c>
      <c r="N38" s="240"/>
      <c r="O38" s="210">
        <f>3399043500-1528653600</f>
        <v>1870389900</v>
      </c>
      <c r="P38" s="210"/>
      <c r="Q38" s="210"/>
    </row>
    <row r="39" spans="1:20">
      <c r="A39" s="128">
        <v>68000</v>
      </c>
      <c r="B39" s="130">
        <v>577</v>
      </c>
      <c r="C39" s="129">
        <v>11</v>
      </c>
      <c r="D39" s="130">
        <v>60</v>
      </c>
      <c r="E39" s="130" t="s">
        <v>208</v>
      </c>
      <c r="F39" s="496" t="s">
        <v>121</v>
      </c>
      <c r="G39" s="238">
        <v>84215326.030000001</v>
      </c>
      <c r="H39" s="204">
        <v>84185845.890000001</v>
      </c>
      <c r="I39" s="354">
        <v>56873881.259999998</v>
      </c>
      <c r="J39" s="522">
        <v>75600000</v>
      </c>
      <c r="K39" s="238">
        <f t="shared" si="0"/>
        <v>-8585845.8900000006</v>
      </c>
      <c r="L39" s="241"/>
      <c r="M39" s="241"/>
      <c r="N39" s="240"/>
      <c r="O39" s="210"/>
      <c r="P39" s="210"/>
      <c r="Q39" s="210"/>
    </row>
    <row r="40" spans="1:20">
      <c r="A40" s="128">
        <v>50000</v>
      </c>
      <c r="B40" s="130">
        <v>794</v>
      </c>
      <c r="C40" s="129">
        <v>11</v>
      </c>
      <c r="D40" s="130">
        <v>55</v>
      </c>
      <c r="E40" s="130" t="s">
        <v>208</v>
      </c>
      <c r="F40" s="483" t="s">
        <v>251</v>
      </c>
      <c r="G40" s="238">
        <v>345294000</v>
      </c>
      <c r="H40" s="202">
        <v>304929988</v>
      </c>
      <c r="I40" s="353">
        <v>231658427.03999999</v>
      </c>
      <c r="J40" s="521">
        <v>323848704</v>
      </c>
      <c r="K40" s="238">
        <f t="shared" si="0"/>
        <v>18918716</v>
      </c>
      <c r="L40" s="241">
        <v>2966636851.3400002</v>
      </c>
      <c r="M40" s="241" t="e">
        <f>SUM(M38:M39)</f>
        <v>#REF!</v>
      </c>
      <c r="N40" s="240"/>
      <c r="O40" s="210"/>
      <c r="P40" s="210"/>
      <c r="Q40" s="210"/>
    </row>
    <row r="41" spans="1:20" ht="13.5" thickBot="1">
      <c r="A41" s="128">
        <v>56000</v>
      </c>
      <c r="B41" s="130">
        <v>761</v>
      </c>
      <c r="C41" s="129">
        <v>11</v>
      </c>
      <c r="D41" s="130">
        <v>30</v>
      </c>
      <c r="E41" s="130" t="s">
        <v>208</v>
      </c>
      <c r="F41" s="483" t="s">
        <v>252</v>
      </c>
      <c r="G41" s="238">
        <v>1155435179.22</v>
      </c>
      <c r="H41" s="202">
        <v>1476960000</v>
      </c>
      <c r="I41" s="353">
        <v>1732556339.55</v>
      </c>
      <c r="J41" s="521">
        <f>H41*1.035</f>
        <v>1528653600</v>
      </c>
      <c r="K41" s="238">
        <f t="shared" si="0"/>
        <v>51693600</v>
      </c>
      <c r="L41" s="241"/>
      <c r="M41" s="241"/>
      <c r="N41" s="240"/>
      <c r="O41" s="210"/>
      <c r="P41" s="210"/>
      <c r="Q41" s="210"/>
    </row>
    <row r="42" spans="1:20" s="127" customFormat="1" ht="16.5" thickBot="1">
      <c r="A42" s="131"/>
      <c r="B42" s="132"/>
      <c r="C42" s="132"/>
      <c r="D42" s="132"/>
      <c r="E42" s="132"/>
      <c r="F42" s="497" t="s">
        <v>19</v>
      </c>
      <c r="G42" s="335">
        <f>SUM(G12:G41)</f>
        <v>603785225492.56006</v>
      </c>
      <c r="H42" s="335">
        <f t="shared" ref="H42:Q42" si="1">SUM(H12:H41)</f>
        <v>572461288759.69983</v>
      </c>
      <c r="I42" s="336">
        <f>SUM(I12:I41)</f>
        <v>418029897207.02002</v>
      </c>
      <c r="J42" s="517">
        <f>SUM(J12:J41)</f>
        <v>671536098866.66992</v>
      </c>
      <c r="K42" s="245">
        <f t="shared" si="1"/>
        <v>99074810106.969986</v>
      </c>
      <c r="L42" s="474">
        <f t="shared" si="1"/>
        <v>207873850795.76999</v>
      </c>
      <c r="M42" s="245" t="e">
        <f t="shared" si="1"/>
        <v>#REF!</v>
      </c>
      <c r="N42" s="265">
        <f t="shared" si="1"/>
        <v>0</v>
      </c>
      <c r="O42" s="245">
        <f t="shared" si="1"/>
        <v>1870389900</v>
      </c>
      <c r="P42" s="245">
        <f t="shared" si="1"/>
        <v>0</v>
      </c>
      <c r="Q42" s="245">
        <f t="shared" si="1"/>
        <v>0</v>
      </c>
    </row>
    <row r="43" spans="1:20">
      <c r="F43" s="483"/>
      <c r="G43" s="246" t="s">
        <v>1</v>
      </c>
      <c r="H43" s="238"/>
      <c r="I43" s="238"/>
      <c r="J43" s="521"/>
      <c r="K43" s="238"/>
      <c r="L43" s="241"/>
      <c r="M43" s="241"/>
      <c r="N43" s="240"/>
      <c r="O43" s="210"/>
      <c r="P43" s="210"/>
      <c r="Q43" s="210"/>
    </row>
    <row r="44" spans="1:20" ht="25.5">
      <c r="F44" s="495" t="s">
        <v>503</v>
      </c>
      <c r="G44" s="246" t="s">
        <v>1</v>
      </c>
      <c r="H44" s="238"/>
      <c r="I44" s="238"/>
      <c r="J44" s="538"/>
      <c r="K44" s="238"/>
      <c r="L44" s="241"/>
      <c r="M44" s="241"/>
      <c r="N44" s="240"/>
      <c r="O44" s="210"/>
      <c r="P44" s="210"/>
      <c r="Q44" s="210"/>
    </row>
    <row r="45" spans="1:20">
      <c r="A45" s="133" t="s">
        <v>504</v>
      </c>
      <c r="B45" s="130" t="s">
        <v>196</v>
      </c>
      <c r="C45" s="129">
        <v>12</v>
      </c>
      <c r="D45" s="129">
        <v>17</v>
      </c>
      <c r="E45" s="129">
        <v>14</v>
      </c>
      <c r="F45" s="483" t="s">
        <v>34</v>
      </c>
      <c r="G45" s="246"/>
      <c r="H45" s="238" t="s">
        <v>1</v>
      </c>
      <c r="I45" s="238"/>
      <c r="J45" s="538"/>
      <c r="K45" s="238"/>
      <c r="L45" s="241"/>
      <c r="M45" s="241"/>
      <c r="N45" s="240"/>
      <c r="O45" s="210"/>
      <c r="P45" s="210"/>
      <c r="Q45" s="210"/>
    </row>
    <row r="46" spans="1:20" ht="13.5" thickBot="1">
      <c r="A46" s="133" t="s">
        <v>504</v>
      </c>
      <c r="B46" s="130" t="s">
        <v>196</v>
      </c>
      <c r="C46" s="129">
        <v>12</v>
      </c>
      <c r="D46" s="129">
        <v>99</v>
      </c>
      <c r="E46" s="129">
        <v>99</v>
      </c>
      <c r="F46" s="483" t="s">
        <v>191</v>
      </c>
      <c r="G46" s="238">
        <v>35000</v>
      </c>
      <c r="H46" s="238">
        <v>40000</v>
      </c>
      <c r="I46" s="238"/>
      <c r="J46" s="521">
        <v>2365</v>
      </c>
      <c r="K46" s="238">
        <f>J46-H46</f>
        <v>-37635</v>
      </c>
      <c r="L46" s="241"/>
      <c r="M46" s="241"/>
      <c r="N46" s="240"/>
      <c r="O46" s="210">
        <v>2570</v>
      </c>
      <c r="P46" s="210">
        <v>2775</v>
      </c>
      <c r="Q46" s="210">
        <v>2980</v>
      </c>
    </row>
    <row r="47" spans="1:20" ht="26.25" thickBot="1">
      <c r="A47" s="133"/>
      <c r="B47" s="130"/>
      <c r="F47" s="498" t="s">
        <v>505</v>
      </c>
      <c r="G47" s="335">
        <v>35000</v>
      </c>
      <c r="H47" s="335">
        <v>40000</v>
      </c>
      <c r="I47" s="335">
        <f>SUM(I44:I46)</f>
        <v>0</v>
      </c>
      <c r="J47" s="517">
        <f>SUM(J45:J46)</f>
        <v>2365</v>
      </c>
      <c r="K47" s="335">
        <f t="shared" ref="K47:Q47" si="2">SUM(K45:K46)</f>
        <v>-37635</v>
      </c>
      <c r="L47" s="475">
        <f t="shared" si="2"/>
        <v>0</v>
      </c>
      <c r="M47" s="335">
        <f t="shared" si="2"/>
        <v>0</v>
      </c>
      <c r="N47" s="337">
        <f t="shared" si="2"/>
        <v>0</v>
      </c>
      <c r="O47" s="335">
        <f t="shared" si="2"/>
        <v>2570</v>
      </c>
      <c r="P47" s="335">
        <f t="shared" si="2"/>
        <v>2775</v>
      </c>
      <c r="Q47" s="335">
        <f t="shared" si="2"/>
        <v>2980</v>
      </c>
    </row>
    <row r="48" spans="1:20">
      <c r="A48" s="133"/>
      <c r="B48" s="130"/>
      <c r="F48" s="495"/>
      <c r="G48" s="254"/>
      <c r="H48" s="254"/>
      <c r="I48" s="254"/>
      <c r="J48" s="539"/>
      <c r="K48" s="254"/>
      <c r="L48" s="338"/>
      <c r="M48" s="338"/>
      <c r="N48" s="338"/>
      <c r="O48" s="254"/>
      <c r="P48" s="254"/>
      <c r="Q48" s="254"/>
    </row>
    <row r="49" spans="1:17">
      <c r="A49" s="133"/>
      <c r="B49" s="130"/>
      <c r="F49" s="495" t="s">
        <v>576</v>
      </c>
      <c r="G49" s="246"/>
      <c r="H49" s="238"/>
      <c r="I49" s="238" t="s">
        <v>1</v>
      </c>
      <c r="J49" s="518"/>
      <c r="K49" s="238">
        <f>J49-H49</f>
        <v>0</v>
      </c>
      <c r="L49" s="241"/>
      <c r="M49" s="241"/>
      <c r="N49" s="240"/>
      <c r="O49" s="210"/>
      <c r="P49" s="210"/>
      <c r="Q49" s="210"/>
    </row>
    <row r="50" spans="1:17" ht="13.5" thickBot="1">
      <c r="A50" s="133"/>
      <c r="B50" s="130"/>
      <c r="F50" s="483" t="s">
        <v>578</v>
      </c>
      <c r="G50" s="238"/>
      <c r="H50" s="238"/>
      <c r="I50" s="238"/>
      <c r="J50" s="518">
        <v>5600000</v>
      </c>
      <c r="K50" s="238">
        <f>J50-H50</f>
        <v>5600000</v>
      </c>
      <c r="L50" s="241"/>
      <c r="M50" s="241"/>
      <c r="N50" s="240"/>
      <c r="O50" s="210">
        <v>5712000</v>
      </c>
      <c r="P50" s="210">
        <v>5826240</v>
      </c>
      <c r="Q50" s="210">
        <v>6001027</v>
      </c>
    </row>
    <row r="51" spans="1:17" ht="20.25" customHeight="1" thickBot="1">
      <c r="A51" s="133"/>
      <c r="B51" s="130"/>
      <c r="F51" s="498" t="s">
        <v>577</v>
      </c>
      <c r="G51" s="335">
        <v>5420000</v>
      </c>
      <c r="H51" s="245">
        <v>4500000</v>
      </c>
      <c r="I51" s="245">
        <f>SUM(I50)</f>
        <v>0</v>
      </c>
      <c r="J51" s="517">
        <f t="shared" ref="J51:Q51" si="3">SUM(J49:J50)</f>
        <v>5600000</v>
      </c>
      <c r="K51" s="335">
        <f t="shared" si="3"/>
        <v>5600000</v>
      </c>
      <c r="L51" s="475">
        <f t="shared" si="3"/>
        <v>0</v>
      </c>
      <c r="M51" s="335">
        <f t="shared" si="3"/>
        <v>0</v>
      </c>
      <c r="N51" s="337">
        <f t="shared" si="3"/>
        <v>0</v>
      </c>
      <c r="O51" s="335">
        <f t="shared" si="3"/>
        <v>5712000</v>
      </c>
      <c r="P51" s="335">
        <f t="shared" si="3"/>
        <v>5826240</v>
      </c>
      <c r="Q51" s="335">
        <f t="shared" si="3"/>
        <v>6001027</v>
      </c>
    </row>
    <row r="52" spans="1:17" ht="12.75" customHeight="1">
      <c r="A52" s="133"/>
      <c r="B52" s="130"/>
      <c r="F52" s="495"/>
      <c r="G52" s="254"/>
      <c r="H52" s="244"/>
      <c r="I52" s="244"/>
      <c r="J52" s="539"/>
      <c r="K52" s="254"/>
      <c r="L52" s="338"/>
      <c r="M52" s="338"/>
      <c r="N52" s="338"/>
      <c r="O52" s="254"/>
      <c r="P52" s="254"/>
      <c r="Q52" s="254"/>
    </row>
    <row r="53" spans="1:17" ht="28.5" customHeight="1">
      <c r="A53" s="133"/>
      <c r="B53" s="130"/>
      <c r="F53" s="495" t="s">
        <v>580</v>
      </c>
      <c r="G53" s="246"/>
      <c r="H53" s="238"/>
      <c r="I53" s="238" t="s">
        <v>1</v>
      </c>
      <c r="J53" s="518"/>
      <c r="K53" s="238">
        <f>J53-H53</f>
        <v>0</v>
      </c>
      <c r="L53" s="241"/>
      <c r="M53" s="241"/>
      <c r="N53" s="240"/>
      <c r="O53" s="210"/>
      <c r="P53" s="210"/>
      <c r="Q53" s="210"/>
    </row>
    <row r="54" spans="1:17" ht="20.25" customHeight="1" thickBot="1">
      <c r="A54" s="133"/>
      <c r="B54" s="130"/>
      <c r="F54" s="483" t="s">
        <v>581</v>
      </c>
      <c r="G54" s="238"/>
      <c r="H54" s="238"/>
      <c r="I54" s="238"/>
      <c r="J54" s="518">
        <v>12000</v>
      </c>
      <c r="K54" s="238">
        <f>J54-H54</f>
        <v>12000</v>
      </c>
      <c r="L54" s="241"/>
      <c r="M54" s="241"/>
      <c r="N54" s="240"/>
      <c r="O54" s="210">
        <v>16000</v>
      </c>
      <c r="P54" s="210">
        <v>16000</v>
      </c>
      <c r="Q54" s="210">
        <v>18000</v>
      </c>
    </row>
    <row r="55" spans="1:17" ht="27" customHeight="1" thickBot="1">
      <c r="A55" s="133"/>
      <c r="B55" s="130"/>
      <c r="F55" s="498" t="s">
        <v>579</v>
      </c>
      <c r="G55" s="335">
        <v>5420000</v>
      </c>
      <c r="H55" s="245">
        <v>4500000</v>
      </c>
      <c r="I55" s="245">
        <f>SUM(I54)</f>
        <v>0</v>
      </c>
      <c r="J55" s="517">
        <f t="shared" ref="J55:Q55" si="4">SUM(J53:J54)</f>
        <v>12000</v>
      </c>
      <c r="K55" s="335">
        <f t="shared" si="4"/>
        <v>12000</v>
      </c>
      <c r="L55" s="475">
        <f t="shared" si="4"/>
        <v>0</v>
      </c>
      <c r="M55" s="335">
        <f t="shared" si="4"/>
        <v>0</v>
      </c>
      <c r="N55" s="337">
        <f t="shared" si="4"/>
        <v>0</v>
      </c>
      <c r="O55" s="335">
        <f t="shared" si="4"/>
        <v>16000</v>
      </c>
      <c r="P55" s="335">
        <f t="shared" si="4"/>
        <v>16000</v>
      </c>
      <c r="Q55" s="335">
        <f t="shared" si="4"/>
        <v>18000</v>
      </c>
    </row>
    <row r="56" spans="1:17">
      <c r="F56" s="483"/>
      <c r="G56" s="246"/>
      <c r="H56" s="238"/>
      <c r="I56" s="238" t="s">
        <v>1</v>
      </c>
      <c r="J56" s="518"/>
      <c r="K56" s="238"/>
      <c r="L56" s="241"/>
      <c r="M56" s="241"/>
      <c r="N56" s="240"/>
      <c r="O56" s="210"/>
      <c r="P56" s="210"/>
      <c r="Q56" s="210"/>
    </row>
    <row r="57" spans="1:17">
      <c r="F57" s="495" t="s">
        <v>545</v>
      </c>
      <c r="G57" s="246"/>
      <c r="H57" s="238"/>
      <c r="I57" s="238" t="s">
        <v>1</v>
      </c>
      <c r="J57" s="518"/>
      <c r="K57" s="238">
        <f>J57-H57</f>
        <v>0</v>
      </c>
      <c r="L57" s="241"/>
      <c r="M57" s="241"/>
      <c r="N57" s="240"/>
      <c r="O57" s="210"/>
      <c r="P57" s="210"/>
      <c r="Q57" s="210"/>
    </row>
    <row r="58" spans="1:17" ht="13.5" thickBot="1">
      <c r="A58" s="133" t="s">
        <v>197</v>
      </c>
      <c r="B58" s="130" t="s">
        <v>196</v>
      </c>
      <c r="C58" s="129">
        <v>12</v>
      </c>
      <c r="D58" s="130" t="s">
        <v>200</v>
      </c>
      <c r="E58" s="129">
        <v>13</v>
      </c>
      <c r="F58" s="483" t="s">
        <v>198</v>
      </c>
      <c r="G58" s="238">
        <v>5420000</v>
      </c>
      <c r="H58" s="238">
        <v>4500000</v>
      </c>
      <c r="I58" s="238"/>
      <c r="J58" s="518"/>
      <c r="K58" s="238">
        <f>J58-H58</f>
        <v>-4500000</v>
      </c>
      <c r="L58" s="241"/>
      <c r="M58" s="241"/>
      <c r="N58" s="240"/>
      <c r="O58" s="210"/>
      <c r="P58" s="210"/>
      <c r="Q58" s="210"/>
    </row>
    <row r="59" spans="1:17" s="127" customFormat="1" ht="26.25" thickBot="1">
      <c r="A59" s="134"/>
      <c r="B59" s="135"/>
      <c r="C59" s="132"/>
      <c r="D59" s="135"/>
      <c r="E59" s="132"/>
      <c r="F59" s="498" t="s">
        <v>546</v>
      </c>
      <c r="G59" s="335">
        <v>5420000</v>
      </c>
      <c r="H59" s="245">
        <v>4500000</v>
      </c>
      <c r="I59" s="245">
        <f>SUM(I58)</f>
        <v>0</v>
      </c>
      <c r="J59" s="517">
        <f>SUM(J57:J58)</f>
        <v>0</v>
      </c>
      <c r="K59" s="335">
        <f t="shared" ref="K59:Q59" si="5">SUM(K57:K58)</f>
        <v>-4500000</v>
      </c>
      <c r="L59" s="475">
        <f t="shared" si="5"/>
        <v>0</v>
      </c>
      <c r="M59" s="335">
        <f t="shared" si="5"/>
        <v>0</v>
      </c>
      <c r="N59" s="337">
        <f t="shared" si="5"/>
        <v>0</v>
      </c>
      <c r="O59" s="335">
        <f t="shared" si="5"/>
        <v>0</v>
      </c>
      <c r="P59" s="335">
        <f t="shared" si="5"/>
        <v>0</v>
      </c>
      <c r="Q59" s="335">
        <f t="shared" si="5"/>
        <v>0</v>
      </c>
    </row>
    <row r="60" spans="1:17" s="127" customFormat="1">
      <c r="A60" s="134"/>
      <c r="B60" s="135"/>
      <c r="C60" s="132"/>
      <c r="D60" s="135"/>
      <c r="E60" s="132"/>
      <c r="F60" s="495"/>
      <c r="G60" s="254"/>
      <c r="H60" s="244"/>
      <c r="I60" s="244"/>
      <c r="J60" s="539"/>
      <c r="K60" s="254"/>
      <c r="L60" s="338"/>
      <c r="M60" s="338"/>
      <c r="N60" s="338"/>
      <c r="O60" s="254"/>
      <c r="P60" s="254"/>
      <c r="Q60" s="254"/>
    </row>
    <row r="61" spans="1:17" s="127" customFormat="1">
      <c r="A61" s="134"/>
      <c r="B61" s="135"/>
      <c r="C61" s="132"/>
      <c r="D61" s="135"/>
      <c r="E61" s="132"/>
      <c r="F61" s="483"/>
      <c r="G61" s="246"/>
      <c r="H61" s="238"/>
      <c r="I61" s="238" t="s">
        <v>1</v>
      </c>
      <c r="J61" s="518"/>
      <c r="K61" s="238"/>
      <c r="L61" s="241"/>
      <c r="M61" s="241"/>
      <c r="N61" s="240"/>
      <c r="O61" s="210"/>
      <c r="P61" s="210"/>
      <c r="Q61" s="210"/>
    </row>
    <row r="62" spans="1:17" s="127" customFormat="1" ht="25.5">
      <c r="A62" s="134"/>
      <c r="B62" s="135"/>
      <c r="C62" s="132"/>
      <c r="D62" s="135"/>
      <c r="E62" s="132"/>
      <c r="F62" s="495" t="s">
        <v>582</v>
      </c>
      <c r="G62" s="246"/>
      <c r="H62" s="238"/>
      <c r="I62" s="238" t="s">
        <v>1</v>
      </c>
      <c r="J62" s="518"/>
      <c r="K62" s="238">
        <f>J62-H62</f>
        <v>0</v>
      </c>
      <c r="L62" s="241"/>
      <c r="M62" s="241"/>
      <c r="N62" s="240"/>
      <c r="O62" s="210"/>
      <c r="P62" s="210"/>
      <c r="Q62" s="210"/>
    </row>
    <row r="63" spans="1:17" s="127" customFormat="1" ht="13.5" thickBot="1">
      <c r="A63" s="134"/>
      <c r="B63" s="135"/>
      <c r="C63" s="132"/>
      <c r="D63" s="135"/>
      <c r="E63" s="132"/>
      <c r="F63" s="483" t="s">
        <v>583</v>
      </c>
      <c r="G63" s="238">
        <v>5420000</v>
      </c>
      <c r="H63" s="238">
        <v>4500000</v>
      </c>
      <c r="I63" s="238"/>
      <c r="J63" s="518">
        <v>6000000</v>
      </c>
      <c r="K63" s="238">
        <f>J63-H63</f>
        <v>1500000</v>
      </c>
      <c r="L63" s="241"/>
      <c r="M63" s="241"/>
      <c r="N63" s="240"/>
      <c r="O63" s="210">
        <v>6060000</v>
      </c>
      <c r="P63" s="210">
        <v>6666000</v>
      </c>
      <c r="Q63" s="210">
        <v>7333000</v>
      </c>
    </row>
    <row r="64" spans="1:17" s="127" customFormat="1" ht="26.25" thickBot="1">
      <c r="A64" s="134"/>
      <c r="B64" s="135"/>
      <c r="C64" s="132"/>
      <c r="D64" s="135"/>
      <c r="E64" s="132"/>
      <c r="F64" s="498" t="s">
        <v>590</v>
      </c>
      <c r="G64" s="335">
        <v>5420000</v>
      </c>
      <c r="H64" s="245">
        <v>4500000</v>
      </c>
      <c r="I64" s="245">
        <f>SUM(I63)</f>
        <v>0</v>
      </c>
      <c r="J64" s="517">
        <f t="shared" ref="J64:Q64" si="6">SUM(J62:J63)</f>
        <v>6000000</v>
      </c>
      <c r="K64" s="335">
        <f t="shared" si="6"/>
        <v>1500000</v>
      </c>
      <c r="L64" s="475">
        <f t="shared" si="6"/>
        <v>0</v>
      </c>
      <c r="M64" s="335">
        <f t="shared" si="6"/>
        <v>0</v>
      </c>
      <c r="N64" s="337">
        <f t="shared" si="6"/>
        <v>0</v>
      </c>
      <c r="O64" s="335">
        <f t="shared" si="6"/>
        <v>6060000</v>
      </c>
      <c r="P64" s="335">
        <f t="shared" si="6"/>
        <v>6666000</v>
      </c>
      <c r="Q64" s="335">
        <f t="shared" si="6"/>
        <v>7333000</v>
      </c>
    </row>
    <row r="65" spans="1:17">
      <c r="F65" s="483"/>
      <c r="G65" s="246"/>
      <c r="H65" s="238"/>
      <c r="I65" s="238" t="s">
        <v>1</v>
      </c>
      <c r="J65" s="518"/>
      <c r="K65" s="238"/>
      <c r="L65" s="241"/>
      <c r="M65" s="241"/>
      <c r="N65" s="240"/>
      <c r="O65" s="210"/>
      <c r="P65" s="210"/>
      <c r="Q65" s="210"/>
    </row>
    <row r="66" spans="1:17">
      <c r="F66" s="495" t="s">
        <v>261</v>
      </c>
      <c r="G66" s="246"/>
      <c r="H66" s="238"/>
      <c r="I66" s="238"/>
      <c r="J66" s="518"/>
      <c r="K66" s="238"/>
      <c r="L66" s="241"/>
      <c r="M66" s="241"/>
      <c r="N66" s="240"/>
      <c r="O66" s="210"/>
      <c r="P66" s="210"/>
      <c r="Q66" s="210"/>
    </row>
    <row r="67" spans="1:17" s="374" customFormat="1">
      <c r="A67" s="366" t="s">
        <v>199</v>
      </c>
      <c r="B67" s="367" t="s">
        <v>196</v>
      </c>
      <c r="C67" s="229">
        <v>12</v>
      </c>
      <c r="D67" s="229">
        <v>16</v>
      </c>
      <c r="E67" s="367" t="s">
        <v>203</v>
      </c>
      <c r="F67" s="484" t="s">
        <v>204</v>
      </c>
      <c r="G67" s="369">
        <v>4997000</v>
      </c>
      <c r="H67" s="369">
        <v>4998500</v>
      </c>
      <c r="I67" s="370">
        <v>300000</v>
      </c>
      <c r="J67" s="540">
        <v>5000000</v>
      </c>
      <c r="K67" s="369">
        <f>J67-H67</f>
        <v>1500</v>
      </c>
      <c r="L67" s="371">
        <f>SUM(J67:J67)</f>
        <v>5000000</v>
      </c>
      <c r="M67" s="371" t="e">
        <f>#REF!-#REF!</f>
        <v>#REF!</v>
      </c>
      <c r="N67" s="372"/>
      <c r="O67" s="373"/>
      <c r="P67" s="373"/>
      <c r="Q67" s="373"/>
    </row>
    <row r="68" spans="1:17" ht="13.5" thickBot="1">
      <c r="A68" s="133" t="s">
        <v>199</v>
      </c>
      <c r="B68" s="130" t="s">
        <v>196</v>
      </c>
      <c r="C68" s="129">
        <v>12</v>
      </c>
      <c r="D68" s="129">
        <v>99</v>
      </c>
      <c r="E68" s="129">
        <v>99</v>
      </c>
      <c r="F68" s="483" t="s">
        <v>201</v>
      </c>
      <c r="G68" s="238">
        <v>3000</v>
      </c>
      <c r="H68" s="238">
        <v>1500</v>
      </c>
      <c r="I68" s="330">
        <f>1000</f>
        <v>1000</v>
      </c>
      <c r="J68" s="518">
        <v>3000</v>
      </c>
      <c r="K68" s="238">
        <f>-J68-H68</f>
        <v>-4500</v>
      </c>
      <c r="L68" s="241"/>
      <c r="M68" s="241"/>
      <c r="N68" s="240"/>
      <c r="O68" s="210"/>
      <c r="P68" s="210"/>
      <c r="Q68" s="210"/>
    </row>
    <row r="69" spans="1:17" s="127" customFormat="1" ht="26.25" thickBot="1">
      <c r="A69" s="134"/>
      <c r="B69" s="135"/>
      <c r="C69" s="132"/>
      <c r="D69" s="132"/>
      <c r="E69" s="132"/>
      <c r="F69" s="498" t="s">
        <v>260</v>
      </c>
      <c r="G69" s="335">
        <v>5000000</v>
      </c>
      <c r="H69" s="245">
        <v>5000000</v>
      </c>
      <c r="I69" s="339">
        <f>SUM(I67:I68)</f>
        <v>301000</v>
      </c>
      <c r="J69" s="541">
        <f>SUM(J67:J68)</f>
        <v>5003000</v>
      </c>
      <c r="K69" s="245">
        <f t="shared" ref="K69:Q69" si="7">SUM(K67:K68)</f>
        <v>-3000</v>
      </c>
      <c r="L69" s="474">
        <f t="shared" si="7"/>
        <v>5000000</v>
      </c>
      <c r="M69" s="245" t="e">
        <f t="shared" si="7"/>
        <v>#REF!</v>
      </c>
      <c r="N69" s="265">
        <f t="shared" si="7"/>
        <v>0</v>
      </c>
      <c r="O69" s="245">
        <f t="shared" si="7"/>
        <v>0</v>
      </c>
      <c r="P69" s="245">
        <f t="shared" si="7"/>
        <v>0</v>
      </c>
      <c r="Q69" s="245">
        <f t="shared" si="7"/>
        <v>0</v>
      </c>
    </row>
    <row r="70" spans="1:17">
      <c r="A70" s="133"/>
      <c r="B70" s="130"/>
      <c r="E70" s="130"/>
      <c r="F70" s="483"/>
      <c r="G70" s="246"/>
      <c r="H70" s="238"/>
      <c r="I70" s="238" t="s">
        <v>1</v>
      </c>
      <c r="J70" s="518"/>
      <c r="K70" s="238"/>
      <c r="L70" s="241"/>
      <c r="M70" s="241"/>
      <c r="N70" s="240"/>
      <c r="O70" s="210"/>
      <c r="P70" s="210"/>
      <c r="Q70" s="210"/>
    </row>
    <row r="71" spans="1:17" ht="25.5">
      <c r="F71" s="495" t="s">
        <v>33</v>
      </c>
      <c r="G71" s="246"/>
      <c r="H71" s="238"/>
      <c r="I71" s="238" t="s">
        <v>1</v>
      </c>
      <c r="J71" s="518"/>
      <c r="K71" s="238"/>
      <c r="L71" s="241">
        <f>SUM(J71:J71)</f>
        <v>0</v>
      </c>
      <c r="M71" s="241" t="e">
        <f>#REF!-#REF!</f>
        <v>#REF!</v>
      </c>
      <c r="N71" s="240"/>
      <c r="O71" s="210"/>
      <c r="P71" s="210"/>
      <c r="Q71" s="210"/>
    </row>
    <row r="72" spans="1:17">
      <c r="A72" s="133" t="s">
        <v>509</v>
      </c>
      <c r="B72" s="130" t="s">
        <v>196</v>
      </c>
      <c r="C72" s="129">
        <v>12</v>
      </c>
      <c r="D72" s="129">
        <v>17</v>
      </c>
      <c r="E72" s="129">
        <v>14</v>
      </c>
      <c r="F72" s="496" t="s">
        <v>34</v>
      </c>
      <c r="G72" s="238"/>
      <c r="H72" s="238">
        <v>7000</v>
      </c>
      <c r="I72" s="238" t="s">
        <v>1</v>
      </c>
      <c r="J72" s="518">
        <v>7000</v>
      </c>
      <c r="K72" s="238">
        <f>J72-H72</f>
        <v>0</v>
      </c>
      <c r="L72" s="241">
        <f>SUM(J72:J72)</f>
        <v>7000</v>
      </c>
      <c r="M72" s="241" t="e">
        <f>#REF!-#REF!</f>
        <v>#REF!</v>
      </c>
      <c r="N72" s="240"/>
      <c r="O72" s="210">
        <v>7350</v>
      </c>
      <c r="P72" s="210">
        <v>7718</v>
      </c>
      <c r="Q72" s="210">
        <v>8103</v>
      </c>
    </row>
    <row r="73" spans="1:17" ht="13.5" thickBot="1">
      <c r="A73" s="133" t="s">
        <v>509</v>
      </c>
      <c r="B73" s="130" t="s">
        <v>196</v>
      </c>
      <c r="C73" s="129">
        <v>12</v>
      </c>
      <c r="D73" s="129">
        <v>99</v>
      </c>
      <c r="E73" s="129">
        <v>99</v>
      </c>
      <c r="F73" s="483" t="s">
        <v>201</v>
      </c>
      <c r="G73" s="238">
        <v>49000</v>
      </c>
      <c r="H73" s="238">
        <v>105000</v>
      </c>
      <c r="I73" s="238"/>
      <c r="J73" s="518">
        <v>63000</v>
      </c>
      <c r="K73" s="238">
        <f>J73-H73</f>
        <v>-42000</v>
      </c>
      <c r="L73" s="241"/>
      <c r="M73" s="241"/>
      <c r="N73" s="240"/>
      <c r="O73" s="210">
        <v>66150</v>
      </c>
      <c r="P73" s="210">
        <v>69458</v>
      </c>
      <c r="Q73" s="210">
        <v>72930</v>
      </c>
    </row>
    <row r="74" spans="1:17" s="127" customFormat="1" ht="26.25" thickBot="1">
      <c r="A74" s="134"/>
      <c r="B74" s="135"/>
      <c r="C74" s="132"/>
      <c r="D74" s="132"/>
      <c r="E74" s="132"/>
      <c r="F74" s="498" t="s">
        <v>262</v>
      </c>
      <c r="G74" s="245">
        <v>49000</v>
      </c>
      <c r="H74" s="245">
        <v>112000</v>
      </c>
      <c r="I74" s="245">
        <f>SUM(I72:I73)</f>
        <v>0</v>
      </c>
      <c r="J74" s="541">
        <f>SUM(J72:J73)</f>
        <v>70000</v>
      </c>
      <c r="K74" s="245">
        <f>SUM(K72:K73)</f>
        <v>-42000</v>
      </c>
      <c r="L74" s="474">
        <f t="shared" ref="L74:Q74" si="8">SUM(L72:L73)</f>
        <v>7000</v>
      </c>
      <c r="M74" s="245" t="e">
        <f t="shared" si="8"/>
        <v>#REF!</v>
      </c>
      <c r="N74" s="265">
        <f t="shared" si="8"/>
        <v>0</v>
      </c>
      <c r="O74" s="245">
        <f t="shared" si="8"/>
        <v>73500</v>
      </c>
      <c r="P74" s="245">
        <f t="shared" si="8"/>
        <v>77176</v>
      </c>
      <c r="Q74" s="245">
        <f t="shared" si="8"/>
        <v>81033</v>
      </c>
    </row>
    <row r="75" spans="1:17">
      <c r="F75" s="496"/>
      <c r="G75" s="246"/>
      <c r="H75" s="238"/>
      <c r="I75" s="238" t="s">
        <v>1</v>
      </c>
      <c r="J75" s="518"/>
      <c r="K75" s="238"/>
      <c r="L75" s="241">
        <f>SUM(J75:J75)</f>
        <v>0</v>
      </c>
      <c r="M75" s="241" t="e">
        <f>#REF!-#REF!</f>
        <v>#REF!</v>
      </c>
      <c r="N75" s="240"/>
      <c r="O75" s="210"/>
      <c r="P75" s="210"/>
      <c r="Q75" s="210"/>
    </row>
    <row r="76" spans="1:17">
      <c r="F76" s="495" t="s">
        <v>35</v>
      </c>
      <c r="G76" s="246"/>
      <c r="H76" s="238"/>
      <c r="I76" s="238" t="s">
        <v>1</v>
      </c>
      <c r="J76" s="518"/>
      <c r="K76" s="238"/>
      <c r="L76" s="241">
        <f>SUM(J76:J76)</f>
        <v>0</v>
      </c>
      <c r="M76" s="241" t="e">
        <f>#REF!-#REF!</f>
        <v>#REF!</v>
      </c>
      <c r="N76" s="240"/>
      <c r="O76" s="210"/>
      <c r="P76" s="210"/>
      <c r="Q76" s="210"/>
    </row>
    <row r="77" spans="1:17">
      <c r="A77" s="133" t="s">
        <v>202</v>
      </c>
      <c r="B77" s="130" t="s">
        <v>196</v>
      </c>
      <c r="C77" s="129">
        <v>12</v>
      </c>
      <c r="D77" s="129">
        <v>10</v>
      </c>
      <c r="E77" s="129">
        <v>99</v>
      </c>
      <c r="F77" s="483" t="s">
        <v>256</v>
      </c>
      <c r="G77" s="238">
        <v>600000</v>
      </c>
      <c r="H77" s="238">
        <v>780000</v>
      </c>
      <c r="I77" s="330">
        <v>975000</v>
      </c>
      <c r="J77" s="518">
        <v>900000</v>
      </c>
      <c r="K77" s="238">
        <f>J77-H77</f>
        <v>120000</v>
      </c>
      <c r="L77" s="241"/>
      <c r="M77" s="241"/>
      <c r="N77" s="240"/>
      <c r="O77" s="210">
        <v>900000</v>
      </c>
      <c r="P77" s="210">
        <v>900000</v>
      </c>
      <c r="Q77" s="210">
        <v>900000</v>
      </c>
    </row>
    <row r="78" spans="1:17">
      <c r="A78" s="133" t="s">
        <v>202</v>
      </c>
      <c r="B78" s="130" t="s">
        <v>196</v>
      </c>
      <c r="C78" s="129">
        <v>12</v>
      </c>
      <c r="D78" s="129">
        <v>17</v>
      </c>
      <c r="E78" s="129">
        <v>14</v>
      </c>
      <c r="F78" s="483" t="s">
        <v>255</v>
      </c>
      <c r="G78" s="238"/>
      <c r="H78" s="238" t="s">
        <v>1</v>
      </c>
      <c r="I78" s="330" t="s">
        <v>1</v>
      </c>
      <c r="J78" s="518">
        <v>10000</v>
      </c>
      <c r="K78" s="238" t="s">
        <v>1</v>
      </c>
      <c r="L78" s="241"/>
      <c r="M78" s="241"/>
      <c r="N78" s="240"/>
      <c r="O78" s="210">
        <v>10000</v>
      </c>
      <c r="P78" s="210">
        <v>10000</v>
      </c>
      <c r="Q78" s="210">
        <v>10000</v>
      </c>
    </row>
    <row r="79" spans="1:17" ht="13.5" thickBot="1">
      <c r="A79" s="133" t="s">
        <v>202</v>
      </c>
      <c r="B79" s="130" t="s">
        <v>196</v>
      </c>
      <c r="C79" s="129">
        <v>12</v>
      </c>
      <c r="D79" s="129">
        <v>99</v>
      </c>
      <c r="E79" s="129">
        <v>99</v>
      </c>
      <c r="F79" s="483" t="s">
        <v>191</v>
      </c>
      <c r="G79" s="238">
        <v>500000</v>
      </c>
      <c r="H79" s="238">
        <v>500000</v>
      </c>
      <c r="I79" s="330">
        <v>716938.5</v>
      </c>
      <c r="J79" s="518">
        <v>485000</v>
      </c>
      <c r="K79" s="238">
        <f>J79-H79</f>
        <v>-15000</v>
      </c>
      <c r="L79" s="241"/>
      <c r="M79" s="241"/>
      <c r="N79" s="240"/>
      <c r="O79" s="210">
        <v>485000</v>
      </c>
      <c r="P79" s="210">
        <v>485000</v>
      </c>
      <c r="Q79" s="210">
        <v>485000</v>
      </c>
    </row>
    <row r="80" spans="1:17" s="127" customFormat="1" ht="26.25" thickBot="1">
      <c r="A80" s="134"/>
      <c r="B80" s="135"/>
      <c r="C80" s="132"/>
      <c r="D80" s="132"/>
      <c r="E80" s="132"/>
      <c r="F80" s="498" t="s">
        <v>263</v>
      </c>
      <c r="G80" s="245">
        <v>1100000</v>
      </c>
      <c r="H80" s="245">
        <v>1280000</v>
      </c>
      <c r="I80" s="339">
        <f>SUM(I77:I79)</f>
        <v>1691938.5</v>
      </c>
      <c r="J80" s="541">
        <f>SUM(J77:J79)</f>
        <v>1395000</v>
      </c>
      <c r="K80" s="245">
        <f>SUM(K78:K79)</f>
        <v>-15000</v>
      </c>
      <c r="L80" s="474">
        <f>SUM(L78:L79)</f>
        <v>0</v>
      </c>
      <c r="M80" s="245">
        <f>SUM(M78:M79)</f>
        <v>0</v>
      </c>
      <c r="N80" s="265">
        <f>SUM(N78:N79)</f>
        <v>0</v>
      </c>
      <c r="O80" s="245">
        <f>SUM(O77:O79)</f>
        <v>1395000</v>
      </c>
      <c r="P80" s="245">
        <f>SUM(P77:P79)</f>
        <v>1395000</v>
      </c>
      <c r="Q80" s="245">
        <f>SUM(Q77:Q79)</f>
        <v>1395000</v>
      </c>
    </row>
    <row r="81" spans="1:17">
      <c r="A81" s="133"/>
      <c r="B81" s="130"/>
      <c r="F81" s="483"/>
      <c r="G81" s="246"/>
      <c r="H81" s="238"/>
      <c r="I81" s="238" t="s">
        <v>1</v>
      </c>
      <c r="J81" s="518"/>
      <c r="K81" s="238"/>
      <c r="L81" s="241"/>
      <c r="M81" s="241"/>
      <c r="N81" s="240"/>
      <c r="O81" s="210"/>
      <c r="P81" s="210"/>
      <c r="Q81" s="210"/>
    </row>
    <row r="82" spans="1:17">
      <c r="F82" s="495" t="s">
        <v>264</v>
      </c>
      <c r="G82" s="246"/>
      <c r="H82" s="238"/>
      <c r="I82" s="238" t="s">
        <v>1</v>
      </c>
      <c r="J82" s="518"/>
      <c r="K82" s="238"/>
      <c r="L82" s="241">
        <f>SUM(J82:J82)</f>
        <v>0</v>
      </c>
      <c r="M82" s="241" t="e">
        <f>#REF!-#REF!</f>
        <v>#REF!</v>
      </c>
      <c r="N82" s="240"/>
      <c r="O82" s="210"/>
      <c r="P82" s="210"/>
      <c r="Q82" s="210"/>
    </row>
    <row r="83" spans="1:17">
      <c r="A83" s="133" t="s">
        <v>202</v>
      </c>
      <c r="B83" s="129">
        <v>204</v>
      </c>
      <c r="C83" s="129">
        <v>12</v>
      </c>
      <c r="D83" s="130" t="s">
        <v>200</v>
      </c>
      <c r="E83" s="129">
        <v>15</v>
      </c>
      <c r="F83" s="483" t="s">
        <v>205</v>
      </c>
      <c r="G83" s="238">
        <v>890000</v>
      </c>
      <c r="H83" s="238">
        <v>15000000</v>
      </c>
      <c r="I83" s="238" t="s">
        <v>1</v>
      </c>
      <c r="J83" s="518"/>
      <c r="K83" s="238">
        <f>J83-H83</f>
        <v>-15000000</v>
      </c>
      <c r="L83" s="241">
        <f>SUM(J83:J83)</f>
        <v>0</v>
      </c>
      <c r="M83" s="241" t="e">
        <f>#REF!-#REF!</f>
        <v>#REF!</v>
      </c>
      <c r="N83" s="240"/>
      <c r="O83" s="210"/>
      <c r="P83" s="210"/>
      <c r="Q83" s="210"/>
    </row>
    <row r="84" spans="1:17" ht="13.5" thickBot="1">
      <c r="A84" s="133" t="s">
        <v>202</v>
      </c>
      <c r="B84" s="129">
        <v>204</v>
      </c>
      <c r="C84" s="129">
        <v>12</v>
      </c>
      <c r="D84" s="129">
        <v>99</v>
      </c>
      <c r="E84" s="129">
        <v>99</v>
      </c>
      <c r="F84" s="483" t="s">
        <v>191</v>
      </c>
      <c r="G84" s="238">
        <v>205000</v>
      </c>
      <c r="H84" s="238">
        <v>600000</v>
      </c>
      <c r="I84" s="238"/>
      <c r="J84" s="518"/>
      <c r="K84" s="238">
        <f>J84-H84</f>
        <v>-600000</v>
      </c>
      <c r="L84" s="241">
        <f>SUM(L67:L83)</f>
        <v>10014000</v>
      </c>
      <c r="M84" s="241" t="e">
        <f>SUM(M67:M83)</f>
        <v>#REF!</v>
      </c>
      <c r="N84" s="240"/>
      <c r="O84" s="210"/>
      <c r="P84" s="210"/>
      <c r="Q84" s="210"/>
    </row>
    <row r="85" spans="1:17" s="127" customFormat="1" ht="13.5" thickBot="1">
      <c r="A85" s="131"/>
      <c r="B85" s="132"/>
      <c r="C85" s="132"/>
      <c r="D85" s="132"/>
      <c r="E85" s="132"/>
      <c r="F85" s="498" t="s">
        <v>265</v>
      </c>
      <c r="G85" s="245">
        <v>1095000</v>
      </c>
      <c r="H85" s="245">
        <v>15600000</v>
      </c>
      <c r="I85" s="245">
        <f>SUM(I83:I84)</f>
        <v>0</v>
      </c>
      <c r="J85" s="541">
        <f>SUM(J83:J84)</f>
        <v>0</v>
      </c>
      <c r="K85" s="245">
        <f t="shared" ref="K85:Q85" si="9">SUM(K83:K84)</f>
        <v>-15600000</v>
      </c>
      <c r="L85" s="474">
        <f t="shared" si="9"/>
        <v>10014000</v>
      </c>
      <c r="M85" s="245" t="e">
        <f t="shared" si="9"/>
        <v>#REF!</v>
      </c>
      <c r="N85" s="265">
        <f t="shared" si="9"/>
        <v>0</v>
      </c>
      <c r="O85" s="245">
        <f t="shared" si="9"/>
        <v>0</v>
      </c>
      <c r="P85" s="245">
        <f t="shared" si="9"/>
        <v>0</v>
      </c>
      <c r="Q85" s="245">
        <f t="shared" si="9"/>
        <v>0</v>
      </c>
    </row>
    <row r="86" spans="1:17">
      <c r="F86" s="483"/>
      <c r="G86" s="246"/>
      <c r="H86" s="238"/>
      <c r="I86" s="238" t="s">
        <v>1</v>
      </c>
      <c r="J86" s="518"/>
      <c r="K86" s="238"/>
      <c r="L86" s="241"/>
      <c r="M86" s="241"/>
      <c r="N86" s="240"/>
      <c r="O86" s="210"/>
      <c r="P86" s="210"/>
      <c r="Q86" s="210"/>
    </row>
    <row r="87" spans="1:17">
      <c r="F87" s="495" t="s">
        <v>37</v>
      </c>
      <c r="G87" s="246"/>
      <c r="H87" s="238"/>
      <c r="I87" s="238" t="s">
        <v>1</v>
      </c>
      <c r="J87" s="518"/>
      <c r="K87" s="238"/>
      <c r="L87" s="241"/>
      <c r="M87" s="241"/>
      <c r="N87" s="240"/>
      <c r="O87" s="210"/>
      <c r="P87" s="210"/>
      <c r="Q87" s="210"/>
    </row>
    <row r="88" spans="1:17">
      <c r="A88" s="133">
        <v>16000</v>
      </c>
      <c r="B88" s="130" t="s">
        <v>196</v>
      </c>
      <c r="C88" s="129">
        <v>12</v>
      </c>
      <c r="D88" s="129">
        <v>17</v>
      </c>
      <c r="E88" s="129">
        <v>14</v>
      </c>
      <c r="F88" s="483" t="s">
        <v>255</v>
      </c>
      <c r="G88" s="238"/>
      <c r="H88" s="238">
        <v>3000</v>
      </c>
      <c r="I88" s="238" t="s">
        <v>1</v>
      </c>
      <c r="J88" s="518">
        <v>5000</v>
      </c>
      <c r="K88" s="238">
        <f>J88-H88</f>
        <v>2000</v>
      </c>
      <c r="L88" s="241"/>
      <c r="M88" s="241"/>
      <c r="N88" s="240"/>
      <c r="O88" s="210">
        <v>5000</v>
      </c>
      <c r="P88" s="210">
        <v>6000</v>
      </c>
      <c r="Q88" s="210">
        <v>6000</v>
      </c>
    </row>
    <row r="89" spans="1:17" ht="13.5" thickBot="1">
      <c r="A89" s="133">
        <v>16000</v>
      </c>
      <c r="B89" s="130" t="s">
        <v>196</v>
      </c>
      <c r="C89" s="129">
        <v>12</v>
      </c>
      <c r="D89" s="129">
        <v>99</v>
      </c>
      <c r="E89" s="129">
        <v>99</v>
      </c>
      <c r="F89" s="483" t="s">
        <v>191</v>
      </c>
      <c r="G89" s="238">
        <v>50000</v>
      </c>
      <c r="H89" s="238">
        <v>70000</v>
      </c>
      <c r="I89" s="238"/>
      <c r="J89" s="518">
        <v>10000</v>
      </c>
      <c r="K89" s="238">
        <f>J89-H89</f>
        <v>-60000</v>
      </c>
      <c r="L89" s="241"/>
      <c r="M89" s="241"/>
      <c r="N89" s="240"/>
      <c r="O89" s="210">
        <v>10000</v>
      </c>
      <c r="P89" s="210">
        <v>10000</v>
      </c>
      <c r="Q89" s="210">
        <v>12000</v>
      </c>
    </row>
    <row r="90" spans="1:17" s="132" customFormat="1" ht="13.5" thickBot="1">
      <c r="A90" s="134"/>
      <c r="B90" s="135"/>
      <c r="F90" s="498" t="s">
        <v>267</v>
      </c>
      <c r="G90" s="245">
        <v>50000</v>
      </c>
      <c r="H90" s="245">
        <v>73000</v>
      </c>
      <c r="I90" s="245">
        <f>SUM(I88:I89)</f>
        <v>0</v>
      </c>
      <c r="J90" s="541">
        <f>SUM(J88:J89)</f>
        <v>15000</v>
      </c>
      <c r="K90" s="245">
        <f t="shared" ref="K90:Q90" si="10">SUM(K88:K89)</f>
        <v>-58000</v>
      </c>
      <c r="L90" s="474">
        <f t="shared" si="10"/>
        <v>0</v>
      </c>
      <c r="M90" s="245">
        <f t="shared" si="10"/>
        <v>0</v>
      </c>
      <c r="N90" s="265">
        <f t="shared" si="10"/>
        <v>0</v>
      </c>
      <c r="O90" s="245">
        <f t="shared" si="10"/>
        <v>15000</v>
      </c>
      <c r="P90" s="245">
        <f t="shared" si="10"/>
        <v>16000</v>
      </c>
      <c r="Q90" s="245">
        <f t="shared" si="10"/>
        <v>18000</v>
      </c>
    </row>
    <row r="91" spans="1:17">
      <c r="A91" s="133"/>
      <c r="B91" s="130"/>
      <c r="F91" s="483"/>
      <c r="G91" s="246"/>
      <c r="H91" s="238"/>
      <c r="I91" s="238" t="s">
        <v>1</v>
      </c>
      <c r="J91" s="518"/>
      <c r="K91" s="238"/>
      <c r="L91" s="241"/>
      <c r="M91" s="241"/>
      <c r="N91" s="240"/>
      <c r="O91" s="210"/>
      <c r="P91" s="210"/>
      <c r="Q91" s="210"/>
    </row>
    <row r="92" spans="1:17">
      <c r="A92" s="128" t="s">
        <v>474</v>
      </c>
      <c r="F92" s="495" t="s">
        <v>266</v>
      </c>
      <c r="G92" s="246"/>
      <c r="H92" s="238"/>
      <c r="I92" s="238" t="s">
        <v>1</v>
      </c>
      <c r="J92" s="518"/>
      <c r="K92" s="238"/>
      <c r="L92" s="241"/>
      <c r="M92" s="241"/>
      <c r="N92" s="240"/>
      <c r="O92" s="210"/>
      <c r="P92" s="210"/>
      <c r="Q92" s="210"/>
    </row>
    <row r="93" spans="1:17">
      <c r="A93" s="128">
        <v>17000</v>
      </c>
      <c r="B93" s="130" t="s">
        <v>196</v>
      </c>
      <c r="C93" s="129">
        <v>12</v>
      </c>
      <c r="D93" s="129">
        <v>17</v>
      </c>
      <c r="E93" s="129">
        <v>14</v>
      </c>
      <c r="F93" s="483" t="s">
        <v>255</v>
      </c>
      <c r="G93" s="238"/>
      <c r="H93" s="238"/>
      <c r="I93" s="238" t="s">
        <v>1</v>
      </c>
      <c r="J93" s="518">
        <v>3000</v>
      </c>
      <c r="K93" s="238">
        <f>J93-H93</f>
        <v>3000</v>
      </c>
      <c r="L93" s="241"/>
      <c r="M93" s="241"/>
      <c r="N93" s="240"/>
      <c r="O93" s="210">
        <v>3000</v>
      </c>
      <c r="P93" s="210">
        <v>4000</v>
      </c>
      <c r="Q93" s="210">
        <v>4000</v>
      </c>
    </row>
    <row r="94" spans="1:17">
      <c r="A94" s="128">
        <v>17000</v>
      </c>
      <c r="B94" s="130" t="s">
        <v>196</v>
      </c>
      <c r="C94" s="129">
        <v>12</v>
      </c>
      <c r="D94" s="129">
        <v>99</v>
      </c>
      <c r="E94" s="129">
        <v>99</v>
      </c>
      <c r="F94" s="483" t="s">
        <v>191</v>
      </c>
      <c r="G94" s="238">
        <v>20000</v>
      </c>
      <c r="H94" s="238">
        <v>49000</v>
      </c>
      <c r="I94" s="330">
        <v>117000</v>
      </c>
      <c r="J94" s="518">
        <v>35000</v>
      </c>
      <c r="K94" s="238">
        <f>J94-H94</f>
        <v>-14000</v>
      </c>
      <c r="L94" s="241"/>
      <c r="M94" s="241"/>
      <c r="N94" s="240"/>
      <c r="O94" s="210">
        <v>35000</v>
      </c>
      <c r="P94" s="210">
        <v>40000</v>
      </c>
      <c r="Q94" s="210">
        <v>40000</v>
      </c>
    </row>
    <row r="95" spans="1:17" ht="13.5" thickBot="1">
      <c r="A95" s="128">
        <v>17000</v>
      </c>
      <c r="B95" s="130" t="s">
        <v>196</v>
      </c>
      <c r="C95" s="129">
        <v>12</v>
      </c>
      <c r="F95" s="483" t="s">
        <v>512</v>
      </c>
      <c r="G95" s="238">
        <v>8531404594</v>
      </c>
      <c r="H95" s="238">
        <v>3693867977.8600001</v>
      </c>
      <c r="I95" s="330">
        <v>2253730682.1399999</v>
      </c>
      <c r="J95" s="518">
        <v>5150363484.1800003</v>
      </c>
      <c r="K95" s="238">
        <f>J95-H95</f>
        <v>1456495506.3200002</v>
      </c>
      <c r="L95" s="241"/>
      <c r="M95" s="241"/>
      <c r="N95" s="240"/>
      <c r="O95" s="210">
        <v>6158045214.21</v>
      </c>
      <c r="P95" s="210">
        <v>7165726944.2399998</v>
      </c>
      <c r="Q95" s="210">
        <v>8173408674.2700005</v>
      </c>
    </row>
    <row r="96" spans="1:17" s="132" customFormat="1" ht="13.5" thickBot="1">
      <c r="A96" s="131"/>
      <c r="F96" s="498" t="s">
        <v>268</v>
      </c>
      <c r="G96" s="340">
        <v>8531424594</v>
      </c>
      <c r="H96" s="340">
        <v>3693916977.8600001</v>
      </c>
      <c r="I96" s="355">
        <f>SUM(I93:I95)</f>
        <v>2253847682.1399999</v>
      </c>
      <c r="J96" s="542">
        <f>SUM(J93:J95)</f>
        <v>5150401484.1800003</v>
      </c>
      <c r="K96" s="340">
        <f t="shared" ref="K96:P96" si="11">SUM(K93:K95)</f>
        <v>1456484506.3200002</v>
      </c>
      <c r="L96" s="476">
        <f t="shared" si="11"/>
        <v>0</v>
      </c>
      <c r="M96" s="340">
        <f t="shared" si="11"/>
        <v>0</v>
      </c>
      <c r="N96" s="341">
        <f t="shared" si="11"/>
        <v>0</v>
      </c>
      <c r="O96" s="340">
        <f t="shared" si="11"/>
        <v>6158083214.21</v>
      </c>
      <c r="P96" s="340">
        <f t="shared" si="11"/>
        <v>7165770944.2399998</v>
      </c>
      <c r="Q96" s="340">
        <f>SUM(Q93:Q95)</f>
        <v>8173452674.2700005</v>
      </c>
    </row>
    <row r="97" spans="1:17">
      <c r="F97" s="483"/>
      <c r="G97" s="246"/>
      <c r="H97" s="238"/>
      <c r="I97" s="238" t="s">
        <v>1</v>
      </c>
      <c r="J97" s="518"/>
      <c r="K97" s="238"/>
      <c r="L97" s="241"/>
      <c r="M97" s="241"/>
      <c r="N97" s="240"/>
      <c r="O97" s="210"/>
      <c r="P97" s="210"/>
      <c r="Q97" s="210"/>
    </row>
    <row r="98" spans="1:17" ht="25.5">
      <c r="F98" s="495" t="s">
        <v>351</v>
      </c>
      <c r="G98" s="246"/>
      <c r="H98" s="238"/>
      <c r="I98" s="238"/>
      <c r="J98" s="518"/>
      <c r="K98" s="238"/>
      <c r="L98" s="241"/>
      <c r="M98" s="241"/>
      <c r="N98" s="240"/>
      <c r="O98" s="210"/>
      <c r="P98" s="210"/>
      <c r="Q98" s="210"/>
    </row>
    <row r="99" spans="1:17" ht="13.5" thickBot="1">
      <c r="A99" s="128">
        <v>19000</v>
      </c>
      <c r="B99" s="130" t="s">
        <v>196</v>
      </c>
      <c r="C99" s="129">
        <v>12</v>
      </c>
      <c r="D99" s="129">
        <v>99</v>
      </c>
      <c r="E99" s="129">
        <v>99</v>
      </c>
      <c r="F99" s="483" t="s">
        <v>191</v>
      </c>
      <c r="G99" s="238">
        <v>663913</v>
      </c>
      <c r="H99" s="238">
        <v>2604170</v>
      </c>
      <c r="I99" s="330">
        <v>622977.57999999996</v>
      </c>
      <c r="J99" s="543">
        <v>1501811.32</v>
      </c>
      <c r="K99" s="330">
        <f>J99-H99</f>
        <v>-1102358.68</v>
      </c>
      <c r="L99" s="333"/>
      <c r="M99" s="333"/>
      <c r="N99" s="5"/>
      <c r="O99" s="185">
        <v>1580356.05</v>
      </c>
      <c r="P99" s="185">
        <v>1663008.67</v>
      </c>
      <c r="Q99" s="185">
        <v>1749984.03</v>
      </c>
    </row>
    <row r="100" spans="1:17" s="132" customFormat="1" ht="26.25" thickBot="1">
      <c r="A100" s="131"/>
      <c r="F100" s="498" t="s">
        <v>352</v>
      </c>
      <c r="G100" s="245">
        <v>663913</v>
      </c>
      <c r="H100" s="245">
        <v>2604170</v>
      </c>
      <c r="I100" s="339">
        <f>SUM(I99)</f>
        <v>622977.57999999996</v>
      </c>
      <c r="J100" s="541">
        <f>SUM(J99)</f>
        <v>1501811.32</v>
      </c>
      <c r="K100" s="245">
        <f t="shared" ref="K100:Q100" si="12">SUM(K99)</f>
        <v>-1102358.68</v>
      </c>
      <c r="L100" s="474">
        <f t="shared" si="12"/>
        <v>0</v>
      </c>
      <c r="M100" s="245">
        <f t="shared" si="12"/>
        <v>0</v>
      </c>
      <c r="N100" s="265">
        <f t="shared" si="12"/>
        <v>0</v>
      </c>
      <c r="O100" s="245">
        <f t="shared" si="12"/>
        <v>1580356.05</v>
      </c>
      <c r="P100" s="245">
        <f t="shared" si="12"/>
        <v>1663008.67</v>
      </c>
      <c r="Q100" s="245">
        <f t="shared" si="12"/>
        <v>1749984.03</v>
      </c>
    </row>
    <row r="101" spans="1:17">
      <c r="F101" s="483"/>
      <c r="G101" s="246"/>
      <c r="H101" s="238"/>
      <c r="I101" s="238" t="s">
        <v>1</v>
      </c>
      <c r="J101" s="518"/>
      <c r="K101" s="238"/>
      <c r="L101" s="241"/>
      <c r="M101" s="241"/>
      <c r="N101" s="240"/>
      <c r="O101" s="210"/>
      <c r="P101" s="210"/>
      <c r="Q101" s="210"/>
    </row>
    <row r="102" spans="1:17">
      <c r="F102" s="495" t="s">
        <v>135</v>
      </c>
      <c r="G102" s="246"/>
      <c r="H102" s="238"/>
      <c r="I102" s="238" t="s">
        <v>1</v>
      </c>
      <c r="J102" s="518"/>
      <c r="K102" s="238"/>
      <c r="L102" s="241"/>
      <c r="M102" s="241"/>
      <c r="N102" s="240"/>
      <c r="O102" s="210"/>
      <c r="P102" s="210"/>
      <c r="Q102" s="210"/>
    </row>
    <row r="103" spans="1:17">
      <c r="A103" s="128">
        <v>19046</v>
      </c>
      <c r="B103" s="130" t="s">
        <v>196</v>
      </c>
      <c r="C103" s="130" t="s">
        <v>306</v>
      </c>
      <c r="D103" s="129">
        <v>99</v>
      </c>
      <c r="E103" s="129">
        <v>11</v>
      </c>
      <c r="F103" s="483" t="s">
        <v>136</v>
      </c>
      <c r="G103" s="246">
        <v>0</v>
      </c>
      <c r="H103" s="238"/>
      <c r="I103" s="238" t="s">
        <v>1</v>
      </c>
      <c r="J103" s="518">
        <v>3000000</v>
      </c>
      <c r="K103" s="238"/>
      <c r="L103" s="241"/>
      <c r="M103" s="241"/>
      <c r="N103" s="240"/>
      <c r="O103" s="210">
        <v>5000000</v>
      </c>
      <c r="P103" s="210">
        <v>6000000</v>
      </c>
      <c r="Q103" s="210">
        <v>9000000</v>
      </c>
    </row>
    <row r="104" spans="1:17">
      <c r="A104" s="128">
        <v>19046</v>
      </c>
      <c r="B104" s="130" t="s">
        <v>196</v>
      </c>
      <c r="C104" s="129">
        <v>12</v>
      </c>
      <c r="D104" s="129">
        <v>99</v>
      </c>
      <c r="E104" s="129">
        <v>12</v>
      </c>
      <c r="F104" s="483" t="s">
        <v>305</v>
      </c>
      <c r="G104" s="210">
        <v>0</v>
      </c>
      <c r="H104" s="238"/>
      <c r="I104" s="238" t="s">
        <v>1</v>
      </c>
      <c r="J104" s="518">
        <v>5000000</v>
      </c>
      <c r="K104" s="238"/>
      <c r="L104" s="241"/>
      <c r="M104" s="241"/>
      <c r="N104" s="240"/>
      <c r="O104" s="210">
        <v>5000000</v>
      </c>
      <c r="P104" s="210">
        <v>6000000</v>
      </c>
      <c r="Q104" s="210">
        <v>7000000</v>
      </c>
    </row>
    <row r="105" spans="1:17" ht="13.5" thickBot="1">
      <c r="A105" s="128">
        <v>19046</v>
      </c>
      <c r="B105" s="130" t="s">
        <v>196</v>
      </c>
      <c r="C105" s="129">
        <v>12</v>
      </c>
      <c r="D105" s="129">
        <v>99</v>
      </c>
      <c r="E105" s="129">
        <v>99</v>
      </c>
      <c r="F105" s="483" t="s">
        <v>191</v>
      </c>
      <c r="G105" s="246">
        <v>0</v>
      </c>
      <c r="H105" s="238">
        <v>2000000</v>
      </c>
      <c r="I105" s="330">
        <v>1971575.17</v>
      </c>
      <c r="J105" s="518">
        <v>2000000</v>
      </c>
      <c r="K105" s="238">
        <f>J105-H105</f>
        <v>0</v>
      </c>
      <c r="L105" s="241"/>
      <c r="M105" s="241"/>
      <c r="N105" s="240"/>
      <c r="O105" s="210">
        <v>2000000</v>
      </c>
      <c r="P105" s="210">
        <v>3000000</v>
      </c>
      <c r="Q105" s="210">
        <v>4000000</v>
      </c>
    </row>
    <row r="106" spans="1:17" s="132" customFormat="1" ht="13.5" thickBot="1">
      <c r="A106" s="131"/>
      <c r="B106" s="135"/>
      <c r="F106" s="498" t="s">
        <v>307</v>
      </c>
      <c r="G106" s="245">
        <v>0</v>
      </c>
      <c r="H106" s="245">
        <v>2000000</v>
      </c>
      <c r="I106" s="339">
        <f>SUM(I103:I105)</f>
        <v>1971575.17</v>
      </c>
      <c r="J106" s="541">
        <f>SUM(J103:J105)</f>
        <v>10000000</v>
      </c>
      <c r="K106" s="245">
        <f t="shared" ref="K106:P106" si="13">SUM(K103:K105)</f>
        <v>0</v>
      </c>
      <c r="L106" s="474">
        <f t="shared" si="13"/>
        <v>0</v>
      </c>
      <c r="M106" s="245">
        <f t="shared" si="13"/>
        <v>0</v>
      </c>
      <c r="N106" s="265">
        <f t="shared" si="13"/>
        <v>0</v>
      </c>
      <c r="O106" s="245">
        <f t="shared" si="13"/>
        <v>12000000</v>
      </c>
      <c r="P106" s="245">
        <f t="shared" si="13"/>
        <v>15000000</v>
      </c>
      <c r="Q106" s="245">
        <f>SUM(Q103:Q105)</f>
        <v>20000000</v>
      </c>
    </row>
    <row r="107" spans="1:17">
      <c r="B107" s="130"/>
      <c r="F107" s="483"/>
      <c r="G107" s="246"/>
      <c r="H107" s="238"/>
      <c r="I107" s="238" t="s">
        <v>1</v>
      </c>
      <c r="J107" s="518"/>
      <c r="K107" s="238"/>
      <c r="L107" s="241"/>
      <c r="M107" s="241"/>
      <c r="N107" s="240"/>
      <c r="O107" s="210"/>
      <c r="P107" s="210"/>
      <c r="Q107" s="210"/>
    </row>
    <row r="108" spans="1:17">
      <c r="F108" s="495" t="s">
        <v>127</v>
      </c>
      <c r="G108" s="246"/>
      <c r="H108" s="238"/>
      <c r="I108" s="238"/>
      <c r="J108" s="518"/>
      <c r="K108" s="238"/>
      <c r="L108" s="241"/>
      <c r="M108" s="241"/>
      <c r="N108" s="240"/>
      <c r="O108" s="210"/>
      <c r="P108" s="210"/>
      <c r="Q108" s="210"/>
    </row>
    <row r="109" spans="1:17">
      <c r="A109" s="128">
        <v>19047</v>
      </c>
      <c r="B109" s="130" t="s">
        <v>196</v>
      </c>
      <c r="C109" s="129">
        <v>12</v>
      </c>
      <c r="D109" s="129">
        <v>99</v>
      </c>
      <c r="E109" s="129">
        <v>99</v>
      </c>
      <c r="F109" s="496" t="s">
        <v>525</v>
      </c>
      <c r="G109" s="246"/>
      <c r="H109" s="238"/>
      <c r="I109" s="238"/>
      <c r="J109" s="518"/>
      <c r="K109" s="238"/>
      <c r="L109" s="241"/>
      <c r="M109" s="241"/>
      <c r="N109" s="240"/>
      <c r="O109" s="210"/>
      <c r="P109" s="210"/>
      <c r="Q109" s="210"/>
    </row>
    <row r="110" spans="1:17">
      <c r="A110" s="128">
        <v>19047</v>
      </c>
      <c r="B110" s="130" t="s">
        <v>196</v>
      </c>
      <c r="C110" s="129">
        <v>12</v>
      </c>
      <c r="D110" s="129">
        <v>17</v>
      </c>
      <c r="E110" s="129">
        <v>28</v>
      </c>
      <c r="F110" s="483" t="s">
        <v>526</v>
      </c>
      <c r="G110" s="238">
        <v>53532000</v>
      </c>
      <c r="H110" s="238"/>
      <c r="I110" s="238"/>
      <c r="J110" s="518">
        <v>62856</v>
      </c>
      <c r="K110" s="238"/>
      <c r="L110" s="241"/>
      <c r="M110" s="241"/>
      <c r="N110" s="240"/>
      <c r="O110" s="210">
        <v>65999</v>
      </c>
      <c r="P110" s="210">
        <v>69300</v>
      </c>
      <c r="Q110" s="210">
        <v>72764</v>
      </c>
    </row>
    <row r="111" spans="1:17" ht="25.5">
      <c r="A111" s="128">
        <v>19047</v>
      </c>
      <c r="B111" s="130" t="s">
        <v>196</v>
      </c>
      <c r="C111" s="129">
        <v>12</v>
      </c>
      <c r="D111" s="129">
        <v>10</v>
      </c>
      <c r="E111" s="130" t="s">
        <v>207</v>
      </c>
      <c r="F111" s="499" t="s">
        <v>129</v>
      </c>
      <c r="G111" s="238">
        <v>143000000</v>
      </c>
      <c r="H111" s="238">
        <v>196000000</v>
      </c>
      <c r="I111" s="330">
        <v>68060177.409999996</v>
      </c>
      <c r="J111" s="518">
        <v>125924</v>
      </c>
      <c r="K111" s="238">
        <f t="shared" ref="K111:K116" si="14">J111-H111</f>
        <v>-195874076</v>
      </c>
      <c r="L111" s="241"/>
      <c r="M111" s="241"/>
      <c r="N111" s="240"/>
      <c r="O111" s="210">
        <v>132220</v>
      </c>
      <c r="P111" s="210">
        <v>138831</v>
      </c>
      <c r="Q111" s="210">
        <v>145773</v>
      </c>
    </row>
    <row r="112" spans="1:17">
      <c r="A112" s="128">
        <v>19047</v>
      </c>
      <c r="B112" s="130" t="s">
        <v>196</v>
      </c>
      <c r="C112" s="129">
        <v>12</v>
      </c>
      <c r="D112" s="129">
        <v>10</v>
      </c>
      <c r="E112" s="130" t="s">
        <v>221</v>
      </c>
      <c r="F112" s="483" t="s">
        <v>130</v>
      </c>
      <c r="G112" s="238">
        <v>33000000</v>
      </c>
      <c r="H112" s="238">
        <v>24300000</v>
      </c>
      <c r="I112" s="330">
        <v>8802505.9299999997</v>
      </c>
      <c r="J112" s="518">
        <v>31559</v>
      </c>
      <c r="K112" s="238">
        <f t="shared" si="14"/>
        <v>-24268441</v>
      </c>
      <c r="L112" s="241"/>
      <c r="M112" s="241"/>
      <c r="N112" s="240"/>
      <c r="O112" s="210">
        <v>33137</v>
      </c>
      <c r="P112" s="210">
        <v>34794</v>
      </c>
      <c r="Q112" s="210">
        <v>36533</v>
      </c>
    </row>
    <row r="113" spans="1:17">
      <c r="A113" s="128">
        <v>19047</v>
      </c>
      <c r="B113" s="130" t="s">
        <v>196</v>
      </c>
      <c r="C113" s="129">
        <v>12</v>
      </c>
      <c r="D113" s="129">
        <v>10</v>
      </c>
      <c r="E113" s="130" t="s">
        <v>209</v>
      </c>
      <c r="F113" s="483" t="s">
        <v>131</v>
      </c>
      <c r="G113" s="238"/>
      <c r="H113" s="238"/>
      <c r="I113" s="330">
        <v>8113455.3499999996</v>
      </c>
      <c r="J113" s="518"/>
      <c r="K113" s="238">
        <f t="shared" si="14"/>
        <v>0</v>
      </c>
      <c r="L113" s="241"/>
      <c r="M113" s="241"/>
      <c r="N113" s="240"/>
      <c r="O113" s="210"/>
      <c r="P113" s="210"/>
      <c r="Q113" s="210"/>
    </row>
    <row r="114" spans="1:17">
      <c r="A114" s="128">
        <v>19047</v>
      </c>
      <c r="B114" s="130" t="s">
        <v>196</v>
      </c>
      <c r="C114" s="129">
        <v>12</v>
      </c>
      <c r="D114" s="129">
        <v>16</v>
      </c>
      <c r="E114" s="129">
        <v>11</v>
      </c>
      <c r="F114" s="483" t="s">
        <v>133</v>
      </c>
      <c r="G114" s="238"/>
      <c r="H114" s="238"/>
      <c r="I114" s="330">
        <v>6000</v>
      </c>
      <c r="J114" s="518"/>
      <c r="K114" s="238">
        <f t="shared" si="14"/>
        <v>0</v>
      </c>
      <c r="L114" s="241"/>
      <c r="M114" s="241"/>
      <c r="N114" s="240"/>
      <c r="O114" s="210"/>
      <c r="P114" s="210"/>
      <c r="Q114" s="210"/>
    </row>
    <row r="115" spans="1:17">
      <c r="A115" s="128">
        <v>19047</v>
      </c>
      <c r="B115" s="130" t="s">
        <v>196</v>
      </c>
      <c r="C115" s="129">
        <v>12</v>
      </c>
      <c r="D115" s="129">
        <v>99</v>
      </c>
      <c r="E115" s="129">
        <v>99</v>
      </c>
      <c r="F115" s="483" t="s">
        <v>32</v>
      </c>
      <c r="G115" s="238">
        <v>6000000</v>
      </c>
      <c r="H115" s="238">
        <v>1000000</v>
      </c>
      <c r="I115" s="330">
        <v>8031.4</v>
      </c>
      <c r="J115" s="518">
        <v>274716</v>
      </c>
      <c r="K115" s="238">
        <f t="shared" si="14"/>
        <v>-725284</v>
      </c>
      <c r="L115" s="241"/>
      <c r="M115" s="241"/>
      <c r="N115" s="240"/>
      <c r="O115" s="210">
        <v>288452</v>
      </c>
      <c r="P115" s="210">
        <v>302874</v>
      </c>
      <c r="Q115" s="210">
        <v>318018</v>
      </c>
    </row>
    <row r="116" spans="1:17" s="127" customFormat="1" ht="26.25" thickBot="1">
      <c r="A116" s="128">
        <v>19047</v>
      </c>
      <c r="B116" s="130" t="s">
        <v>196</v>
      </c>
      <c r="C116" s="129">
        <v>12</v>
      </c>
      <c r="D116" s="129">
        <v>99</v>
      </c>
      <c r="E116" s="129">
        <v>99</v>
      </c>
      <c r="F116" s="483" t="s">
        <v>519</v>
      </c>
      <c r="G116" s="238">
        <v>85008000</v>
      </c>
      <c r="H116" s="238">
        <v>400000000</v>
      </c>
      <c r="I116" s="330">
        <v>423989313.33999997</v>
      </c>
      <c r="J116" s="518">
        <v>216607</v>
      </c>
      <c r="K116" s="238">
        <f t="shared" si="14"/>
        <v>-399783393</v>
      </c>
      <c r="L116" s="338"/>
      <c r="M116" s="338"/>
      <c r="N116" s="356"/>
      <c r="O116" s="267">
        <v>227438</v>
      </c>
      <c r="P116" s="267">
        <v>238810</v>
      </c>
      <c r="Q116" s="267">
        <v>250750</v>
      </c>
    </row>
    <row r="117" spans="1:17" s="127" customFormat="1" ht="13.5" thickBot="1">
      <c r="A117" s="131"/>
      <c r="B117" s="135"/>
      <c r="C117" s="132"/>
      <c r="D117" s="132"/>
      <c r="E117" s="132"/>
      <c r="F117" s="498" t="s">
        <v>128</v>
      </c>
      <c r="G117" s="245">
        <v>320540000</v>
      </c>
      <c r="H117" s="245">
        <v>621300000</v>
      </c>
      <c r="I117" s="339">
        <f>SUM(I109:I116)</f>
        <v>508979483.42999995</v>
      </c>
      <c r="J117" s="544">
        <f>SUM(J109:J116)</f>
        <v>711662</v>
      </c>
      <c r="K117" s="245">
        <f t="shared" ref="K117:Q117" si="15">SUM(K109:K116)</f>
        <v>-620651194</v>
      </c>
      <c r="L117" s="474">
        <f t="shared" si="15"/>
        <v>0</v>
      </c>
      <c r="M117" s="245">
        <f t="shared" si="15"/>
        <v>0</v>
      </c>
      <c r="N117" s="265">
        <f t="shared" si="15"/>
        <v>0</v>
      </c>
      <c r="O117" s="245">
        <f t="shared" si="15"/>
        <v>747246</v>
      </c>
      <c r="P117" s="245">
        <f t="shared" si="15"/>
        <v>784609</v>
      </c>
      <c r="Q117" s="245">
        <f t="shared" si="15"/>
        <v>823838</v>
      </c>
    </row>
    <row r="118" spans="1:17">
      <c r="B118" s="130"/>
      <c r="F118" s="483"/>
      <c r="G118" s="246"/>
      <c r="H118" s="238"/>
      <c r="I118" s="238" t="s">
        <v>1</v>
      </c>
      <c r="J118" s="518"/>
      <c r="K118" s="238"/>
      <c r="L118" s="241"/>
      <c r="M118" s="241"/>
      <c r="N118" s="240"/>
      <c r="O118" s="210"/>
      <c r="P118" s="210"/>
      <c r="Q118" s="210"/>
    </row>
    <row r="119" spans="1:17" ht="25.5">
      <c r="B119" s="130"/>
      <c r="F119" s="495" t="s">
        <v>487</v>
      </c>
      <c r="G119" s="246"/>
      <c r="H119" s="238"/>
      <c r="I119" s="238" t="s">
        <v>1</v>
      </c>
      <c r="J119" s="518"/>
      <c r="K119" s="238"/>
      <c r="L119" s="241"/>
      <c r="M119" s="241"/>
      <c r="N119" s="240"/>
      <c r="O119" s="210"/>
      <c r="P119" s="210"/>
      <c r="Q119" s="210"/>
    </row>
    <row r="120" spans="1:17">
      <c r="A120" s="128">
        <v>19047</v>
      </c>
      <c r="B120" s="130" t="s">
        <v>196</v>
      </c>
      <c r="C120" s="129">
        <v>12</v>
      </c>
      <c r="F120" s="483" t="s">
        <v>488</v>
      </c>
      <c r="G120" s="238">
        <v>33272116</v>
      </c>
      <c r="H120" s="238"/>
      <c r="I120" s="238" t="s">
        <v>1</v>
      </c>
      <c r="J120" s="518">
        <v>34872000</v>
      </c>
      <c r="K120" s="238">
        <f t="shared" ref="K120:K127" si="16">J120-H120</f>
        <v>34872000</v>
      </c>
      <c r="L120" s="241"/>
      <c r="M120" s="241"/>
      <c r="N120" s="240"/>
      <c r="O120" s="210"/>
      <c r="P120" s="210"/>
      <c r="Q120" s="210"/>
    </row>
    <row r="121" spans="1:17" ht="25.5">
      <c r="A121" s="128">
        <v>19047</v>
      </c>
      <c r="B121" s="130" t="s">
        <v>196</v>
      </c>
      <c r="C121" s="129">
        <v>12</v>
      </c>
      <c r="F121" s="483" t="s">
        <v>489</v>
      </c>
      <c r="G121" s="238">
        <v>100200000</v>
      </c>
      <c r="H121" s="238"/>
      <c r="I121" s="238" t="s">
        <v>1</v>
      </c>
      <c r="J121" s="518">
        <v>58740000</v>
      </c>
      <c r="K121" s="238">
        <f t="shared" si="16"/>
        <v>58740000</v>
      </c>
      <c r="L121" s="241"/>
      <c r="M121" s="241"/>
      <c r="N121" s="240"/>
      <c r="O121" s="210"/>
      <c r="P121" s="210"/>
      <c r="Q121" s="210"/>
    </row>
    <row r="122" spans="1:17">
      <c r="A122" s="128">
        <v>19047</v>
      </c>
      <c r="B122" s="130" t="s">
        <v>196</v>
      </c>
      <c r="C122" s="129">
        <v>12</v>
      </c>
      <c r="F122" s="483" t="s">
        <v>496</v>
      </c>
      <c r="G122" s="238">
        <v>35000000</v>
      </c>
      <c r="H122" s="238"/>
      <c r="I122" s="238" t="s">
        <v>1</v>
      </c>
      <c r="J122" s="518">
        <v>40688750</v>
      </c>
      <c r="K122" s="238">
        <f t="shared" si="16"/>
        <v>40688750</v>
      </c>
      <c r="L122" s="241"/>
      <c r="M122" s="241"/>
      <c r="N122" s="240"/>
      <c r="O122" s="210"/>
      <c r="P122" s="210"/>
      <c r="Q122" s="210"/>
    </row>
    <row r="123" spans="1:17" s="374" customFormat="1">
      <c r="A123" s="375">
        <v>19047</v>
      </c>
      <c r="B123" s="367" t="s">
        <v>196</v>
      </c>
      <c r="C123" s="229">
        <v>12</v>
      </c>
      <c r="D123" s="229"/>
      <c r="E123" s="229"/>
      <c r="F123" s="484" t="s">
        <v>490</v>
      </c>
      <c r="G123" s="369">
        <v>11500143</v>
      </c>
      <c r="H123" s="369"/>
      <c r="I123" s="369" t="s">
        <v>1</v>
      </c>
      <c r="J123" s="540">
        <v>6862778</v>
      </c>
      <c r="K123" s="369">
        <f t="shared" si="16"/>
        <v>6862778</v>
      </c>
      <c r="L123" s="371"/>
      <c r="M123" s="371"/>
      <c r="N123" s="372"/>
      <c r="O123" s="373"/>
      <c r="P123" s="373"/>
      <c r="Q123" s="373"/>
    </row>
    <row r="124" spans="1:17">
      <c r="A124" s="128">
        <v>19047</v>
      </c>
      <c r="B124" s="130" t="s">
        <v>196</v>
      </c>
      <c r="C124" s="129">
        <v>12</v>
      </c>
      <c r="F124" s="483" t="s">
        <v>491</v>
      </c>
      <c r="G124" s="238">
        <v>8146280</v>
      </c>
      <c r="H124" s="238"/>
      <c r="I124" s="238" t="s">
        <v>1</v>
      </c>
      <c r="J124" s="518">
        <v>2559800</v>
      </c>
      <c r="K124" s="238">
        <f t="shared" si="16"/>
        <v>2559800</v>
      </c>
      <c r="L124" s="241"/>
      <c r="M124" s="241"/>
      <c r="N124" s="240"/>
      <c r="O124" s="210"/>
      <c r="P124" s="210"/>
      <c r="Q124" s="210"/>
    </row>
    <row r="125" spans="1:17">
      <c r="A125" s="128">
        <v>19047</v>
      </c>
      <c r="B125" s="130" t="s">
        <v>196</v>
      </c>
      <c r="C125" s="129">
        <v>12</v>
      </c>
      <c r="F125" s="483" t="s">
        <v>492</v>
      </c>
      <c r="G125" s="238">
        <v>200000</v>
      </c>
      <c r="H125" s="238"/>
      <c r="I125" s="238" t="s">
        <v>1</v>
      </c>
      <c r="J125" s="518">
        <v>718000</v>
      </c>
      <c r="K125" s="238">
        <f t="shared" si="16"/>
        <v>718000</v>
      </c>
      <c r="L125" s="241"/>
      <c r="M125" s="241"/>
      <c r="N125" s="240"/>
      <c r="O125" s="210"/>
      <c r="P125" s="210"/>
      <c r="Q125" s="210"/>
    </row>
    <row r="126" spans="1:17">
      <c r="A126" s="128">
        <v>19047</v>
      </c>
      <c r="B126" s="130" t="s">
        <v>196</v>
      </c>
      <c r="C126" s="129">
        <v>12</v>
      </c>
      <c r="F126" s="483" t="s">
        <v>493</v>
      </c>
      <c r="G126" s="238">
        <v>795000</v>
      </c>
      <c r="H126" s="238"/>
      <c r="I126" s="238" t="s">
        <v>1</v>
      </c>
      <c r="J126" s="518">
        <v>1357500</v>
      </c>
      <c r="K126" s="238">
        <f t="shared" si="16"/>
        <v>1357500</v>
      </c>
      <c r="L126" s="241"/>
      <c r="M126" s="241"/>
      <c r="N126" s="240"/>
      <c r="O126" s="210"/>
      <c r="P126" s="210"/>
      <c r="Q126" s="210"/>
    </row>
    <row r="127" spans="1:17">
      <c r="A127" s="128">
        <v>19047</v>
      </c>
      <c r="B127" s="130" t="s">
        <v>196</v>
      </c>
      <c r="C127" s="129">
        <v>12</v>
      </c>
      <c r="F127" s="483" t="s">
        <v>494</v>
      </c>
      <c r="G127" s="238">
        <v>33404684</v>
      </c>
      <c r="H127" s="238"/>
      <c r="I127" s="238" t="s">
        <v>1</v>
      </c>
      <c r="J127" s="518">
        <v>36717632</v>
      </c>
      <c r="K127" s="238">
        <f t="shared" si="16"/>
        <v>36717632</v>
      </c>
      <c r="L127" s="241"/>
      <c r="M127" s="241"/>
      <c r="N127" s="240"/>
      <c r="O127" s="210"/>
      <c r="P127" s="210"/>
      <c r="Q127" s="210"/>
    </row>
    <row r="128" spans="1:17" ht="13.5" thickBot="1">
      <c r="A128" s="128">
        <v>19047</v>
      </c>
      <c r="B128" s="130" t="s">
        <v>196</v>
      </c>
      <c r="C128" s="129">
        <v>12</v>
      </c>
      <c r="F128" s="483" t="s">
        <v>495</v>
      </c>
      <c r="G128" s="238"/>
      <c r="H128" s="238"/>
      <c r="I128" s="238" t="s">
        <v>1</v>
      </c>
      <c r="J128" s="518"/>
      <c r="K128" s="238"/>
      <c r="L128" s="241"/>
      <c r="M128" s="241"/>
      <c r="N128" s="240"/>
      <c r="O128" s="210"/>
      <c r="P128" s="210"/>
      <c r="Q128" s="210"/>
    </row>
    <row r="129" spans="1:17" ht="26.25" thickBot="1">
      <c r="B129" s="130"/>
      <c r="F129" s="498" t="s">
        <v>497</v>
      </c>
      <c r="G129" s="335">
        <v>222518223</v>
      </c>
      <c r="H129" s="335">
        <v>0</v>
      </c>
      <c r="I129" s="335">
        <f>SUM(I120:I128)</f>
        <v>0</v>
      </c>
      <c r="J129" s="517">
        <f>SUM(J120:J128)</f>
        <v>182516460</v>
      </c>
      <c r="K129" s="335">
        <f t="shared" ref="K129:Q129" si="17">SUM(K120:K128)</f>
        <v>182516460</v>
      </c>
      <c r="L129" s="475">
        <f t="shared" si="17"/>
        <v>0</v>
      </c>
      <c r="M129" s="335">
        <f t="shared" si="17"/>
        <v>0</v>
      </c>
      <c r="N129" s="337">
        <f t="shared" si="17"/>
        <v>0</v>
      </c>
      <c r="O129" s="335">
        <f t="shared" si="17"/>
        <v>0</v>
      </c>
      <c r="P129" s="335">
        <f t="shared" si="17"/>
        <v>0</v>
      </c>
      <c r="Q129" s="335">
        <f t="shared" si="17"/>
        <v>0</v>
      </c>
    </row>
    <row r="130" spans="1:17">
      <c r="B130" s="130"/>
      <c r="F130" s="496"/>
      <c r="G130" s="246"/>
      <c r="H130" s="238" t="s">
        <v>1</v>
      </c>
      <c r="I130" s="238" t="s">
        <v>1</v>
      </c>
      <c r="J130" s="518" t="s">
        <v>1</v>
      </c>
      <c r="K130" s="238"/>
      <c r="L130" s="241"/>
      <c r="M130" s="241"/>
      <c r="N130" s="240"/>
      <c r="O130" s="210"/>
      <c r="P130" s="210"/>
      <c r="Q130" s="210"/>
    </row>
    <row r="131" spans="1:17" ht="25.5">
      <c r="B131" s="130"/>
      <c r="F131" s="500" t="s">
        <v>322</v>
      </c>
      <c r="G131" s="246"/>
      <c r="H131" s="238"/>
      <c r="I131" s="238" t="s">
        <v>1</v>
      </c>
      <c r="J131" s="518"/>
      <c r="K131" s="238"/>
      <c r="L131" s="241"/>
      <c r="M131" s="241"/>
      <c r="N131" s="240"/>
      <c r="O131" s="210"/>
      <c r="P131" s="210"/>
      <c r="Q131" s="210"/>
    </row>
    <row r="132" spans="1:17" ht="25.5">
      <c r="A132" s="133" t="s">
        <v>206</v>
      </c>
      <c r="B132" s="130" t="s">
        <v>196</v>
      </c>
      <c r="C132" s="129">
        <v>12</v>
      </c>
      <c r="D132" s="130" t="s">
        <v>200</v>
      </c>
      <c r="E132" s="136">
        <v>17</v>
      </c>
      <c r="F132" s="483" t="s">
        <v>449</v>
      </c>
      <c r="G132" s="238">
        <v>360717429</v>
      </c>
      <c r="H132" s="238">
        <v>391527369</v>
      </c>
      <c r="I132" s="330">
        <v>6712421.2000000002</v>
      </c>
      <c r="J132" s="518">
        <v>474320124</v>
      </c>
      <c r="K132" s="238">
        <f t="shared" ref="K132:K144" si="18">J132-H132</f>
        <v>82792755</v>
      </c>
      <c r="L132" s="241">
        <f>SUM(J132:J132)</f>
        <v>474320124</v>
      </c>
      <c r="M132" s="241" t="e">
        <f>#REF!-#REF!</f>
        <v>#REF!</v>
      </c>
      <c r="N132" s="240"/>
      <c r="O132" s="210">
        <v>521752137</v>
      </c>
      <c r="P132" s="210">
        <v>573927351</v>
      </c>
      <c r="Q132" s="210">
        <v>631320086</v>
      </c>
    </row>
    <row r="133" spans="1:17" ht="25.5">
      <c r="A133" s="133" t="s">
        <v>206</v>
      </c>
      <c r="B133" s="130" t="s">
        <v>196</v>
      </c>
      <c r="C133" s="129">
        <v>12</v>
      </c>
      <c r="D133" s="130" t="s">
        <v>207</v>
      </c>
      <c r="E133" s="137" t="s">
        <v>200</v>
      </c>
      <c r="F133" s="483" t="s">
        <v>323</v>
      </c>
      <c r="G133" s="238">
        <v>20284910000</v>
      </c>
      <c r="H133" s="238">
        <v>16879160000</v>
      </c>
      <c r="I133" s="330">
        <v>42348551963.089996</v>
      </c>
      <c r="J133" s="518">
        <f>16400000000+3359380000-5000000000</f>
        <v>14759380000</v>
      </c>
      <c r="K133" s="238">
        <f t="shared" si="18"/>
        <v>-2119780000</v>
      </c>
      <c r="L133" s="241">
        <f>SUM(J133:J133)</f>
        <v>14759380000</v>
      </c>
      <c r="M133" s="241" t="e">
        <f>#REF!-#REF!</f>
        <v>#REF!</v>
      </c>
      <c r="N133" s="240"/>
      <c r="O133" s="210">
        <v>16400000000</v>
      </c>
      <c r="P133" s="210">
        <v>11400000000</v>
      </c>
      <c r="Q133" s="210">
        <v>11400000000</v>
      </c>
    </row>
    <row r="134" spans="1:17">
      <c r="A134" s="133" t="s">
        <v>206</v>
      </c>
      <c r="B134" s="130" t="s">
        <v>196</v>
      </c>
      <c r="C134" s="129">
        <v>12</v>
      </c>
      <c r="D134" s="129">
        <v>99</v>
      </c>
      <c r="E134" s="130" t="s">
        <v>215</v>
      </c>
      <c r="F134" s="483" t="s">
        <v>39</v>
      </c>
      <c r="G134" s="238">
        <v>30900000</v>
      </c>
      <c r="H134" s="238">
        <v>32136000</v>
      </c>
      <c r="I134" s="330">
        <v>324113.03000000003</v>
      </c>
      <c r="J134" s="518">
        <v>33743000</v>
      </c>
      <c r="K134" s="238">
        <f t="shared" si="18"/>
        <v>1607000</v>
      </c>
      <c r="L134" s="241"/>
      <c r="M134" s="241"/>
      <c r="N134" s="240"/>
      <c r="O134" s="210">
        <v>35430000</v>
      </c>
      <c r="P134" s="210">
        <v>37201000</v>
      </c>
      <c r="Q134" s="210">
        <v>39061000</v>
      </c>
    </row>
    <row r="135" spans="1:17">
      <c r="A135" s="133" t="s">
        <v>206</v>
      </c>
      <c r="B135" s="130" t="s">
        <v>196</v>
      </c>
      <c r="C135" s="129">
        <v>12</v>
      </c>
      <c r="D135" s="130" t="s">
        <v>207</v>
      </c>
      <c r="E135" s="138" t="s">
        <v>203</v>
      </c>
      <c r="F135" s="483" t="s">
        <v>38</v>
      </c>
      <c r="G135" s="238"/>
      <c r="H135" s="238"/>
      <c r="I135" s="330"/>
      <c r="J135" s="518">
        <v>1100000000</v>
      </c>
      <c r="K135" s="238">
        <f t="shared" si="18"/>
        <v>1100000000</v>
      </c>
      <c r="L135" s="241"/>
      <c r="M135" s="241"/>
      <c r="N135" s="240"/>
      <c r="O135" s="210"/>
      <c r="P135" s="210"/>
      <c r="Q135" s="210"/>
    </row>
    <row r="136" spans="1:17">
      <c r="A136" s="133" t="s">
        <v>206</v>
      </c>
      <c r="B136" s="130" t="s">
        <v>196</v>
      </c>
      <c r="C136" s="129">
        <v>12</v>
      </c>
      <c r="D136" s="129">
        <v>99</v>
      </c>
      <c r="E136" s="130" t="s">
        <v>209</v>
      </c>
      <c r="F136" s="483" t="s">
        <v>40</v>
      </c>
      <c r="G136" s="238">
        <v>2000000</v>
      </c>
      <c r="H136" s="238">
        <v>2080000</v>
      </c>
      <c r="I136" s="330">
        <v>765337.5</v>
      </c>
      <c r="J136" s="518">
        <v>2288000</v>
      </c>
      <c r="K136" s="238">
        <f t="shared" si="18"/>
        <v>208000</v>
      </c>
      <c r="L136" s="241">
        <f>SUM(L132:L134)</f>
        <v>15233700124</v>
      </c>
      <c r="M136" s="241" t="e">
        <f>SUM(M132:M133)</f>
        <v>#REF!</v>
      </c>
      <c r="N136" s="240"/>
      <c r="O136" s="210">
        <v>2516000</v>
      </c>
      <c r="P136" s="210">
        <v>2768000</v>
      </c>
      <c r="Q136" s="210">
        <v>3045000</v>
      </c>
    </row>
    <row r="137" spans="1:17" ht="25.5">
      <c r="A137" s="133" t="s">
        <v>206</v>
      </c>
      <c r="B137" s="130" t="s">
        <v>196</v>
      </c>
      <c r="C137" s="129">
        <v>12</v>
      </c>
      <c r="D137" s="130" t="s">
        <v>200</v>
      </c>
      <c r="E137" s="130">
        <v>19</v>
      </c>
      <c r="F137" s="483" t="s">
        <v>324</v>
      </c>
      <c r="G137" s="238"/>
      <c r="H137" s="238"/>
      <c r="I137" s="330"/>
      <c r="J137" s="518"/>
      <c r="K137" s="238">
        <f t="shared" si="18"/>
        <v>0</v>
      </c>
      <c r="L137" s="241"/>
      <c r="M137" s="241"/>
      <c r="N137" s="240"/>
      <c r="O137" s="210"/>
      <c r="P137" s="210"/>
      <c r="Q137" s="210"/>
    </row>
    <row r="138" spans="1:17">
      <c r="A138" s="133" t="s">
        <v>206</v>
      </c>
      <c r="B138" s="130" t="s">
        <v>196</v>
      </c>
      <c r="C138" s="129">
        <v>12</v>
      </c>
      <c r="D138" s="130" t="s">
        <v>208</v>
      </c>
      <c r="E138" s="129">
        <v>10</v>
      </c>
      <c r="F138" s="483" t="s">
        <v>41</v>
      </c>
      <c r="G138" s="238"/>
      <c r="H138" s="238"/>
      <c r="I138" s="330"/>
      <c r="J138" s="518"/>
      <c r="K138" s="238">
        <f t="shared" si="18"/>
        <v>0</v>
      </c>
      <c r="L138" s="241"/>
      <c r="M138" s="241"/>
      <c r="N138" s="240"/>
      <c r="O138" s="210"/>
      <c r="P138" s="210"/>
      <c r="Q138" s="210"/>
    </row>
    <row r="139" spans="1:17">
      <c r="A139" s="133" t="s">
        <v>206</v>
      </c>
      <c r="B139" s="130" t="s">
        <v>196</v>
      </c>
      <c r="C139" s="129">
        <v>12</v>
      </c>
      <c r="D139" s="130" t="s">
        <v>200</v>
      </c>
      <c r="E139" s="129">
        <v>16</v>
      </c>
      <c r="F139" s="483" t="s">
        <v>211</v>
      </c>
      <c r="G139" s="238">
        <v>513522</v>
      </c>
      <c r="H139" s="238">
        <v>917231</v>
      </c>
      <c r="I139" s="330"/>
      <c r="J139" s="518">
        <v>1293365</v>
      </c>
      <c r="K139" s="238">
        <f t="shared" si="18"/>
        <v>376134</v>
      </c>
      <c r="L139" s="241">
        <f>SUM(J139:J139)</f>
        <v>1293365</v>
      </c>
      <c r="M139" s="241" t="e">
        <f>SUM(M136,M84)</f>
        <v>#REF!</v>
      </c>
      <c r="N139" s="240"/>
      <c r="O139" s="210">
        <v>1422702</v>
      </c>
      <c r="P139" s="210">
        <v>1564972</v>
      </c>
      <c r="Q139" s="210">
        <v>1721469</v>
      </c>
    </row>
    <row r="140" spans="1:17">
      <c r="A140" s="133" t="s">
        <v>206</v>
      </c>
      <c r="B140" s="130" t="s">
        <v>196</v>
      </c>
      <c r="C140" s="129">
        <v>12</v>
      </c>
      <c r="D140" s="130" t="s">
        <v>200</v>
      </c>
      <c r="E140" s="129">
        <v>18</v>
      </c>
      <c r="F140" s="483" t="s">
        <v>212</v>
      </c>
      <c r="G140" s="238">
        <v>33294803</v>
      </c>
      <c r="H140" s="238">
        <v>35481388</v>
      </c>
      <c r="I140" s="330">
        <v>35272703.799999997</v>
      </c>
      <c r="J140" s="518">
        <v>39903593</v>
      </c>
      <c r="K140" s="238">
        <f t="shared" si="18"/>
        <v>4422205</v>
      </c>
      <c r="L140" s="241"/>
      <c r="M140" s="241"/>
      <c r="N140" s="240"/>
      <c r="O140" s="210">
        <v>43893953</v>
      </c>
      <c r="P140" s="210">
        <v>48283348</v>
      </c>
      <c r="Q140" s="210">
        <v>53111683</v>
      </c>
    </row>
    <row r="141" spans="1:17">
      <c r="A141" s="133" t="s">
        <v>206</v>
      </c>
      <c r="B141" s="130" t="s">
        <v>196</v>
      </c>
      <c r="C141" s="129">
        <v>12</v>
      </c>
      <c r="D141" s="130" t="s">
        <v>209</v>
      </c>
      <c r="E141" s="129">
        <v>21</v>
      </c>
      <c r="F141" s="483" t="s">
        <v>213</v>
      </c>
      <c r="G141" s="238"/>
      <c r="H141" s="238">
        <v>26000000</v>
      </c>
      <c r="I141" s="330"/>
      <c r="J141" s="518">
        <v>28600000</v>
      </c>
      <c r="K141" s="238">
        <f t="shared" si="18"/>
        <v>2600000</v>
      </c>
      <c r="L141" s="241"/>
      <c r="M141" s="241"/>
      <c r="N141" s="240"/>
      <c r="O141" s="210">
        <v>31460000</v>
      </c>
      <c r="P141" s="210">
        <v>34606000</v>
      </c>
      <c r="Q141" s="210">
        <v>38066000</v>
      </c>
    </row>
    <row r="142" spans="1:17">
      <c r="A142" s="133" t="s">
        <v>206</v>
      </c>
      <c r="B142" s="130" t="s">
        <v>196</v>
      </c>
      <c r="C142" s="129">
        <v>12</v>
      </c>
      <c r="D142" s="130" t="s">
        <v>210</v>
      </c>
      <c r="E142" s="129">
        <v>23</v>
      </c>
      <c r="F142" s="483" t="s">
        <v>42</v>
      </c>
      <c r="G142" s="238">
        <v>55590315.380000003</v>
      </c>
      <c r="H142" s="238">
        <v>18000000</v>
      </c>
      <c r="I142" s="330">
        <v>13694406.93</v>
      </c>
      <c r="J142" s="518">
        <v>24000000</v>
      </c>
      <c r="K142" s="238">
        <f t="shared" si="18"/>
        <v>6000000</v>
      </c>
      <c r="L142" s="241"/>
      <c r="M142" s="241"/>
      <c r="N142" s="240"/>
      <c r="O142" s="210">
        <v>31920000</v>
      </c>
      <c r="P142" s="210">
        <v>42453000</v>
      </c>
      <c r="Q142" s="210">
        <v>56463000</v>
      </c>
    </row>
    <row r="143" spans="1:17">
      <c r="A143" s="133" t="s">
        <v>206</v>
      </c>
      <c r="B143" s="130" t="s">
        <v>196</v>
      </c>
      <c r="C143" s="129">
        <v>12</v>
      </c>
      <c r="D143" s="130" t="s">
        <v>209</v>
      </c>
      <c r="E143" s="129">
        <v>99</v>
      </c>
      <c r="F143" s="483" t="s">
        <v>191</v>
      </c>
      <c r="G143" s="238">
        <v>608000000</v>
      </c>
      <c r="H143" s="238">
        <v>26000000</v>
      </c>
      <c r="I143" s="330">
        <v>1438131.97</v>
      </c>
      <c r="J143" s="518">
        <v>28600000</v>
      </c>
      <c r="K143" s="238">
        <f t="shared" si="18"/>
        <v>2600000</v>
      </c>
      <c r="L143" s="241">
        <f>SUM(J143:J143)</f>
        <v>28600000</v>
      </c>
      <c r="M143" s="241" t="e">
        <f>#REF!-#REF!</f>
        <v>#REF!</v>
      </c>
      <c r="N143" s="240"/>
      <c r="O143" s="210">
        <v>31460000</v>
      </c>
      <c r="P143" s="210">
        <v>34606000</v>
      </c>
      <c r="Q143" s="210">
        <v>38067000</v>
      </c>
    </row>
    <row r="144" spans="1:17" ht="13.5" thickBot="1">
      <c r="A144" s="133" t="s">
        <v>206</v>
      </c>
      <c r="B144" s="130" t="s">
        <v>196</v>
      </c>
      <c r="C144" s="129">
        <v>12</v>
      </c>
      <c r="D144" s="130" t="s">
        <v>207</v>
      </c>
      <c r="E144" s="139">
        <v>19</v>
      </c>
      <c r="F144" s="483" t="s">
        <v>214</v>
      </c>
      <c r="G144" s="238">
        <v>15000000</v>
      </c>
      <c r="H144" s="238">
        <v>50330500</v>
      </c>
      <c r="I144" s="330">
        <v>4923713.2300000004</v>
      </c>
      <c r="J144" s="518">
        <v>9176250</v>
      </c>
      <c r="K144" s="238">
        <f t="shared" si="18"/>
        <v>-41154250</v>
      </c>
      <c r="L144" s="241">
        <f>SUM(J144:J144)</f>
        <v>9176250</v>
      </c>
      <c r="M144" s="241" t="e">
        <f>#REF!-#REF!</f>
        <v>#REF!</v>
      </c>
      <c r="N144" s="240"/>
      <c r="O144" s="210">
        <v>10000000</v>
      </c>
      <c r="P144" s="210">
        <v>10000000</v>
      </c>
      <c r="Q144" s="210">
        <v>10000000</v>
      </c>
    </row>
    <row r="145" spans="1:17" ht="26.25" thickBot="1">
      <c r="F145" s="501" t="s">
        <v>304</v>
      </c>
      <c r="G145" s="245">
        <v>21390926069.380001</v>
      </c>
      <c r="H145" s="245">
        <v>17461632488</v>
      </c>
      <c r="I145" s="339">
        <f>SUM(I132:I144)</f>
        <v>42411682790.75</v>
      </c>
      <c r="J145" s="541">
        <f>SUM(J132:J144)</f>
        <v>16501304332</v>
      </c>
      <c r="K145" s="245">
        <f t="shared" ref="K145:Q145" si="19">SUM(K132:K144)</f>
        <v>-960328156</v>
      </c>
      <c r="L145" s="474">
        <f t="shared" si="19"/>
        <v>30506469863</v>
      </c>
      <c r="M145" s="245" t="e">
        <f t="shared" si="19"/>
        <v>#REF!</v>
      </c>
      <c r="N145" s="265">
        <f t="shared" si="19"/>
        <v>0</v>
      </c>
      <c r="O145" s="245">
        <f t="shared" si="19"/>
        <v>17109854792</v>
      </c>
      <c r="P145" s="245">
        <f t="shared" si="19"/>
        <v>12185409671</v>
      </c>
      <c r="Q145" s="245">
        <f t="shared" si="19"/>
        <v>12270855238</v>
      </c>
    </row>
    <row r="146" spans="1:17">
      <c r="F146" s="483"/>
      <c r="G146" s="246"/>
      <c r="H146" s="238"/>
      <c r="I146" s="238" t="str">
        <f>[1]new!U132</f>
        <v xml:space="preserve"> </v>
      </c>
      <c r="J146" s="518"/>
      <c r="K146" s="238"/>
      <c r="L146" s="241"/>
      <c r="M146" s="241"/>
      <c r="N146" s="240"/>
      <c r="O146" s="210"/>
      <c r="P146" s="210"/>
      <c r="Q146" s="210"/>
    </row>
    <row r="147" spans="1:17" ht="25.5">
      <c r="E147" s="136"/>
      <c r="F147" s="500" t="s">
        <v>43</v>
      </c>
      <c r="G147" s="246"/>
      <c r="H147" s="238"/>
      <c r="I147" s="238"/>
      <c r="J147" s="518"/>
      <c r="K147" s="238"/>
      <c r="L147" s="241">
        <f>SUM(J147:J147)</f>
        <v>0</v>
      </c>
      <c r="M147" s="241" t="e">
        <f>#REF!-#REF!</f>
        <v>#REF!</v>
      </c>
      <c r="N147" s="240"/>
      <c r="O147" s="210"/>
      <c r="P147" s="210"/>
      <c r="Q147" s="210"/>
    </row>
    <row r="148" spans="1:17">
      <c r="A148" s="128">
        <v>20011</v>
      </c>
      <c r="B148" s="130" t="s">
        <v>196</v>
      </c>
      <c r="C148" s="129">
        <v>12</v>
      </c>
      <c r="D148" s="130" t="s">
        <v>207</v>
      </c>
      <c r="E148" s="138" t="s">
        <v>208</v>
      </c>
      <c r="F148" s="496" t="s">
        <v>216</v>
      </c>
      <c r="G148" s="238">
        <v>385959903.48000002</v>
      </c>
      <c r="H148" s="238">
        <v>186113099.16</v>
      </c>
      <c r="I148" s="330">
        <v>1141876675.22</v>
      </c>
      <c r="J148" s="543">
        <f>192664773.25+1000000000</f>
        <v>1192664773.25</v>
      </c>
      <c r="K148" s="238">
        <f t="shared" ref="K148:K163" si="20">J148-H148</f>
        <v>1006551674.09</v>
      </c>
      <c r="L148" s="241"/>
      <c r="M148" s="241"/>
      <c r="N148" s="240"/>
      <c r="O148" s="185">
        <v>196518068.72</v>
      </c>
      <c r="P148" s="185">
        <v>200448430.09</v>
      </c>
      <c r="Q148" s="185"/>
    </row>
    <row r="149" spans="1:17" ht="25.5">
      <c r="A149" s="128">
        <v>20011</v>
      </c>
      <c r="B149" s="130" t="s">
        <v>196</v>
      </c>
      <c r="C149" s="129">
        <v>12</v>
      </c>
      <c r="D149" s="130" t="s">
        <v>207</v>
      </c>
      <c r="E149" s="130" t="s">
        <v>215</v>
      </c>
      <c r="F149" s="483" t="s">
        <v>30</v>
      </c>
      <c r="G149" s="238">
        <v>62712854.560000002</v>
      </c>
      <c r="H149" s="238">
        <v>2726922.92</v>
      </c>
      <c r="I149" s="330">
        <v>2092435.82</v>
      </c>
      <c r="J149" s="543">
        <v>2781461.38</v>
      </c>
      <c r="K149" s="238">
        <f t="shared" si="20"/>
        <v>54538.459999999963</v>
      </c>
      <c r="L149" s="241"/>
      <c r="M149" s="241"/>
      <c r="N149" s="240"/>
      <c r="O149" s="185">
        <v>2837090.61</v>
      </c>
      <c r="P149" s="185">
        <v>2893832.42</v>
      </c>
      <c r="Q149" s="185"/>
    </row>
    <row r="150" spans="1:17" ht="25.5">
      <c r="A150" s="128">
        <v>20011</v>
      </c>
      <c r="B150" s="130" t="s">
        <v>196</v>
      </c>
      <c r="C150" s="129">
        <v>12</v>
      </c>
      <c r="D150" s="130" t="s">
        <v>207</v>
      </c>
      <c r="E150" s="130" t="s">
        <v>207</v>
      </c>
      <c r="F150" s="483" t="s">
        <v>345</v>
      </c>
      <c r="G150" s="238">
        <v>1264123157.96</v>
      </c>
      <c r="H150" s="238">
        <v>18458087.640000001</v>
      </c>
      <c r="I150" s="330">
        <v>42.5</v>
      </c>
      <c r="J150" s="543">
        <v>322351405.27999997</v>
      </c>
      <c r="K150" s="238">
        <f t="shared" si="20"/>
        <v>303893317.63999999</v>
      </c>
      <c r="L150" s="241"/>
      <c r="M150" s="241"/>
      <c r="N150" s="240"/>
      <c r="O150" s="185">
        <v>328798433.38999999</v>
      </c>
      <c r="P150" s="185">
        <v>335374402.05000001</v>
      </c>
      <c r="Q150" s="185"/>
    </row>
    <row r="151" spans="1:17" ht="25.5">
      <c r="A151" s="128">
        <v>20011</v>
      </c>
      <c r="B151" s="130" t="s">
        <v>196</v>
      </c>
      <c r="C151" s="129">
        <v>12</v>
      </c>
      <c r="D151" s="130" t="s">
        <v>207</v>
      </c>
      <c r="E151" s="130" t="s">
        <v>221</v>
      </c>
      <c r="F151" s="496" t="s">
        <v>31</v>
      </c>
      <c r="G151" s="238">
        <v>11436074.33</v>
      </c>
      <c r="H151" s="238">
        <v>3225097.59</v>
      </c>
      <c r="I151" s="330">
        <v>3140915.4</v>
      </c>
      <c r="J151" s="543">
        <v>8375196.2699999996</v>
      </c>
      <c r="K151" s="238">
        <f t="shared" si="20"/>
        <v>5150098.68</v>
      </c>
      <c r="L151" s="241"/>
      <c r="M151" s="241"/>
      <c r="N151" s="240"/>
      <c r="O151" s="185">
        <v>8542700.1999999993</v>
      </c>
      <c r="P151" s="185">
        <v>8713554.1999999993</v>
      </c>
      <c r="Q151" s="185"/>
    </row>
    <row r="152" spans="1:17">
      <c r="A152" s="128">
        <v>20011</v>
      </c>
      <c r="B152" s="130" t="s">
        <v>196</v>
      </c>
      <c r="C152" s="129">
        <v>12</v>
      </c>
      <c r="D152" s="130" t="s">
        <v>207</v>
      </c>
      <c r="E152" s="130" t="s">
        <v>209</v>
      </c>
      <c r="F152" s="483" t="s">
        <v>217</v>
      </c>
      <c r="G152" s="238">
        <v>2733377.91</v>
      </c>
      <c r="H152" s="238">
        <v>12114435.210000001</v>
      </c>
      <c r="I152" s="330">
        <v>492529.12</v>
      </c>
      <c r="J152" s="543">
        <v>9874710.0700000003</v>
      </c>
      <c r="K152" s="238">
        <f t="shared" si="20"/>
        <v>-2239725.1400000006</v>
      </c>
      <c r="L152" s="241"/>
      <c r="M152" s="241"/>
      <c r="N152" s="240"/>
      <c r="O152" s="185">
        <v>10072204.27</v>
      </c>
      <c r="P152" s="185">
        <v>10273648.35</v>
      </c>
      <c r="Q152" s="185"/>
    </row>
    <row r="153" spans="1:17">
      <c r="A153" s="128">
        <v>20011</v>
      </c>
      <c r="B153" s="130" t="s">
        <v>196</v>
      </c>
      <c r="C153" s="129">
        <v>12</v>
      </c>
      <c r="D153" s="130" t="s">
        <v>207</v>
      </c>
      <c r="E153" s="130" t="s">
        <v>200</v>
      </c>
      <c r="F153" s="483" t="s">
        <v>535</v>
      </c>
      <c r="G153" s="238">
        <v>4501800000</v>
      </c>
      <c r="H153" s="238">
        <v>7322375317.4899998</v>
      </c>
      <c r="I153" s="330">
        <v>933962624.25</v>
      </c>
      <c r="J153" s="543">
        <f>1132458990.84+3961408444</f>
        <v>5093867434.8400002</v>
      </c>
      <c r="K153" s="238">
        <f t="shared" si="20"/>
        <v>-2228507882.6499996</v>
      </c>
      <c r="L153" s="241"/>
      <c r="M153" s="241"/>
      <c r="N153" s="240"/>
      <c r="O153" s="185">
        <v>1155108170.6600001</v>
      </c>
      <c r="P153" s="185">
        <v>1178210334.0699999</v>
      </c>
      <c r="Q153" s="185"/>
    </row>
    <row r="154" spans="1:17" ht="25.5">
      <c r="A154" s="128">
        <v>20011</v>
      </c>
      <c r="B154" s="130" t="s">
        <v>196</v>
      </c>
      <c r="C154" s="129">
        <v>12</v>
      </c>
      <c r="D154" s="130" t="s">
        <v>207</v>
      </c>
      <c r="E154" s="130" t="s">
        <v>203</v>
      </c>
      <c r="F154" s="483" t="s">
        <v>536</v>
      </c>
      <c r="G154" s="238">
        <v>1964600000</v>
      </c>
      <c r="H154" s="238"/>
      <c r="I154" s="330">
        <v>82719131.579999998</v>
      </c>
      <c r="J154" s="543">
        <v>0</v>
      </c>
      <c r="K154" s="238">
        <f t="shared" si="20"/>
        <v>0</v>
      </c>
      <c r="L154" s="241"/>
      <c r="M154" s="241"/>
      <c r="N154" s="240"/>
      <c r="O154" s="185">
        <v>0</v>
      </c>
      <c r="P154" s="185">
        <v>0</v>
      </c>
      <c r="Q154" s="185"/>
    </row>
    <row r="155" spans="1:17" ht="25.5">
      <c r="A155" s="128">
        <v>20011</v>
      </c>
      <c r="B155" s="130" t="s">
        <v>196</v>
      </c>
      <c r="C155" s="129">
        <v>12</v>
      </c>
      <c r="D155" s="130" t="s">
        <v>208</v>
      </c>
      <c r="E155" s="130" t="s">
        <v>221</v>
      </c>
      <c r="F155" s="483" t="s">
        <v>597</v>
      </c>
      <c r="G155" s="238">
        <v>2279530595.8800001</v>
      </c>
      <c r="H155" s="238">
        <v>3139705071.71556</v>
      </c>
      <c r="I155" s="330">
        <v>2291024359.8600001</v>
      </c>
      <c r="J155" s="543">
        <v>5376502000</v>
      </c>
      <c r="K155" s="238">
        <f t="shared" si="20"/>
        <v>2236796928.28444</v>
      </c>
      <c r="L155" s="241"/>
      <c r="M155" s="241"/>
      <c r="N155" s="240"/>
      <c r="O155" s="185">
        <v>2916356895.8899999</v>
      </c>
      <c r="P155" s="185">
        <v>2974684033.8099999</v>
      </c>
      <c r="Q155" s="185">
        <v>3004430874.1500001</v>
      </c>
    </row>
    <row r="156" spans="1:17" ht="25.5">
      <c r="A156" s="128">
        <v>20011</v>
      </c>
      <c r="B156" s="130" t="s">
        <v>196</v>
      </c>
      <c r="C156" s="129">
        <v>12</v>
      </c>
      <c r="D156" s="130" t="s">
        <v>208</v>
      </c>
      <c r="E156" s="130" t="s">
        <v>209</v>
      </c>
      <c r="F156" s="483" t="s">
        <v>218</v>
      </c>
      <c r="G156" s="238"/>
      <c r="H156" s="238"/>
      <c r="I156" s="330"/>
      <c r="J156" s="543"/>
      <c r="K156" s="238">
        <f t="shared" si="20"/>
        <v>0</v>
      </c>
      <c r="L156" s="241"/>
      <c r="M156" s="241"/>
      <c r="N156" s="240"/>
      <c r="O156" s="185"/>
      <c r="P156" s="185"/>
      <c r="Q156" s="185"/>
    </row>
    <row r="157" spans="1:17" ht="25.5">
      <c r="A157" s="128">
        <v>20011</v>
      </c>
      <c r="B157" s="130" t="s">
        <v>196</v>
      </c>
      <c r="C157" s="129">
        <v>12</v>
      </c>
      <c r="D157" s="130" t="s">
        <v>208</v>
      </c>
      <c r="E157" s="130" t="s">
        <v>200</v>
      </c>
      <c r="F157" s="483" t="s">
        <v>44</v>
      </c>
      <c r="G157" s="238"/>
      <c r="H157" s="238"/>
      <c r="I157" s="330"/>
      <c r="J157" s="543"/>
      <c r="K157" s="238">
        <f t="shared" si="20"/>
        <v>0</v>
      </c>
      <c r="L157" s="241"/>
      <c r="M157" s="241"/>
      <c r="N157" s="240"/>
      <c r="O157" s="185"/>
      <c r="P157" s="185"/>
      <c r="Q157" s="185"/>
    </row>
    <row r="158" spans="1:17">
      <c r="A158" s="128">
        <v>20011</v>
      </c>
      <c r="B158" s="130" t="s">
        <v>196</v>
      </c>
      <c r="C158" s="129">
        <v>12</v>
      </c>
      <c r="D158" s="129">
        <v>99</v>
      </c>
      <c r="E158" s="130" t="s">
        <v>221</v>
      </c>
      <c r="F158" s="483" t="s">
        <v>46</v>
      </c>
      <c r="G158" s="238">
        <v>31556086.77</v>
      </c>
      <c r="H158" s="238">
        <v>15551025.24</v>
      </c>
      <c r="I158" s="330">
        <v>2776771.65</v>
      </c>
      <c r="J158" s="543">
        <v>15862045.74</v>
      </c>
      <c r="K158" s="238">
        <f t="shared" si="20"/>
        <v>311020.5</v>
      </c>
      <c r="L158" s="241"/>
      <c r="M158" s="241"/>
      <c r="N158" s="240"/>
      <c r="O158" s="185">
        <v>16179286.66</v>
      </c>
      <c r="P158" s="185">
        <v>16502872.390000001</v>
      </c>
      <c r="Q158" s="185"/>
    </row>
    <row r="159" spans="1:17">
      <c r="A159" s="128">
        <v>20011</v>
      </c>
      <c r="B159" s="130" t="s">
        <v>196</v>
      </c>
      <c r="C159" s="129">
        <v>12</v>
      </c>
      <c r="D159" s="129">
        <v>15</v>
      </c>
      <c r="E159" s="130" t="s">
        <v>207</v>
      </c>
      <c r="F159" s="483" t="s">
        <v>47</v>
      </c>
      <c r="G159" s="238">
        <v>267678.3</v>
      </c>
      <c r="H159" s="238">
        <v>387246.78</v>
      </c>
      <c r="I159" s="330">
        <v>360562.16</v>
      </c>
      <c r="J159" s="543">
        <v>394991.72</v>
      </c>
      <c r="K159" s="238">
        <f t="shared" si="20"/>
        <v>7744.9399999999441</v>
      </c>
      <c r="L159" s="241"/>
      <c r="M159" s="241"/>
      <c r="N159" s="240"/>
      <c r="O159" s="185">
        <v>402891.55</v>
      </c>
      <c r="P159" s="185">
        <v>410949.38</v>
      </c>
      <c r="Q159" s="185"/>
    </row>
    <row r="160" spans="1:17">
      <c r="A160" s="128">
        <v>20011</v>
      </c>
      <c r="B160" s="130" t="s">
        <v>196</v>
      </c>
      <c r="C160" s="129">
        <v>12</v>
      </c>
      <c r="D160" s="129">
        <v>99</v>
      </c>
      <c r="E160" s="130" t="s">
        <v>209</v>
      </c>
      <c r="F160" s="483" t="s">
        <v>219</v>
      </c>
      <c r="G160" s="238">
        <v>2249598.94</v>
      </c>
      <c r="H160" s="238">
        <v>1077600</v>
      </c>
      <c r="I160" s="330">
        <v>257460</v>
      </c>
      <c r="J160" s="543">
        <v>493884</v>
      </c>
      <c r="K160" s="238">
        <f t="shared" si="20"/>
        <v>-583716</v>
      </c>
      <c r="L160" s="242"/>
      <c r="M160" s="241"/>
      <c r="N160" s="240"/>
      <c r="O160" s="185">
        <v>503761.68</v>
      </c>
      <c r="P160" s="185">
        <v>513836.91</v>
      </c>
      <c r="Q160" s="185"/>
    </row>
    <row r="161" spans="1:17">
      <c r="A161" s="128">
        <v>20011</v>
      </c>
      <c r="B161" s="130" t="s">
        <v>196</v>
      </c>
      <c r="C161" s="129">
        <v>12</v>
      </c>
      <c r="D161" s="129">
        <v>99</v>
      </c>
      <c r="E161" s="130" t="s">
        <v>200</v>
      </c>
      <c r="F161" s="483" t="s">
        <v>49</v>
      </c>
      <c r="G161" s="238">
        <v>104263733.08</v>
      </c>
      <c r="H161" s="238">
        <v>2415515.8266666667</v>
      </c>
      <c r="I161" s="330">
        <v>12254061.23</v>
      </c>
      <c r="J161" s="543">
        <v>474062.29</v>
      </c>
      <c r="K161" s="238">
        <f t="shared" si="20"/>
        <v>-1941453.5366666666</v>
      </c>
      <c r="L161" s="241"/>
      <c r="M161" s="241"/>
      <c r="N161" s="240"/>
      <c r="O161" s="185">
        <v>483543.53</v>
      </c>
      <c r="P161" s="185">
        <v>493214.41</v>
      </c>
      <c r="Q161" s="185"/>
    </row>
    <row r="162" spans="1:17">
      <c r="A162" s="128">
        <v>20011</v>
      </c>
      <c r="B162" s="130" t="s">
        <v>196</v>
      </c>
      <c r="C162" s="129">
        <v>12</v>
      </c>
      <c r="D162" s="129">
        <v>17</v>
      </c>
      <c r="E162" s="129">
        <v>14</v>
      </c>
      <c r="F162" s="483" t="s">
        <v>220</v>
      </c>
      <c r="G162" s="238">
        <v>1531461.43</v>
      </c>
      <c r="H162" s="238">
        <v>1387338.5066666668</v>
      </c>
      <c r="I162" s="330">
        <v>476403.63</v>
      </c>
      <c r="J162" s="543">
        <v>827945.27</v>
      </c>
      <c r="K162" s="238">
        <f t="shared" si="20"/>
        <v>-559393.23666666681</v>
      </c>
      <c r="L162" s="241"/>
      <c r="M162" s="241"/>
      <c r="N162" s="240"/>
      <c r="O162" s="185">
        <v>844504.18</v>
      </c>
      <c r="P162" s="185">
        <v>861394.26</v>
      </c>
      <c r="Q162" s="185"/>
    </row>
    <row r="163" spans="1:17">
      <c r="A163" s="128">
        <v>20011</v>
      </c>
      <c r="B163" s="130" t="s">
        <v>196</v>
      </c>
      <c r="C163" s="129">
        <v>12</v>
      </c>
      <c r="D163" s="129">
        <v>99</v>
      </c>
      <c r="E163" s="129">
        <v>99</v>
      </c>
      <c r="F163" s="483" t="s">
        <v>191</v>
      </c>
      <c r="G163" s="238">
        <v>6167652650.8500004</v>
      </c>
      <c r="H163" s="238">
        <v>16039813243.814445</v>
      </c>
      <c r="I163" s="330">
        <v>8694367465.5599995</v>
      </c>
      <c r="J163" s="543">
        <f>12582011407.73+3769775225-2461408444</f>
        <v>13890378188.73</v>
      </c>
      <c r="K163" s="238">
        <f t="shared" si="20"/>
        <v>-2149435055.084446</v>
      </c>
      <c r="L163" s="241"/>
      <c r="M163" s="241"/>
      <c r="N163" s="240"/>
      <c r="O163" s="185">
        <v>12833651635.889999</v>
      </c>
      <c r="P163" s="185">
        <v>13090324668.610001</v>
      </c>
      <c r="Q163" s="185"/>
    </row>
    <row r="164" spans="1:17" ht="25.5">
      <c r="A164" s="128">
        <v>20011</v>
      </c>
      <c r="B164" s="130" t="s">
        <v>196</v>
      </c>
      <c r="C164" s="129">
        <v>12</v>
      </c>
      <c r="D164" s="130" t="s">
        <v>200</v>
      </c>
      <c r="E164" s="130" t="s">
        <v>208</v>
      </c>
      <c r="F164" s="483" t="s">
        <v>517</v>
      </c>
      <c r="G164" s="238"/>
      <c r="H164" s="238"/>
      <c r="I164" s="330"/>
      <c r="J164" s="543"/>
      <c r="K164" s="238"/>
      <c r="L164" s="241"/>
      <c r="M164" s="241"/>
      <c r="N164" s="240"/>
      <c r="O164" s="185"/>
      <c r="P164" s="185"/>
      <c r="Q164" s="185"/>
    </row>
    <row r="165" spans="1:17">
      <c r="A165" s="128">
        <v>20011</v>
      </c>
      <c r="B165" s="130" t="s">
        <v>196</v>
      </c>
      <c r="C165" s="129">
        <v>12</v>
      </c>
      <c r="D165" s="129">
        <v>16</v>
      </c>
      <c r="E165" s="129">
        <v>12</v>
      </c>
      <c r="F165" s="496" t="s">
        <v>45</v>
      </c>
      <c r="G165" s="238"/>
      <c r="H165" s="238"/>
      <c r="I165" s="330"/>
      <c r="J165" s="545"/>
      <c r="K165" s="238"/>
      <c r="L165" s="242"/>
      <c r="M165" s="241"/>
      <c r="N165" s="240"/>
      <c r="O165" s="185"/>
      <c r="P165" s="185"/>
      <c r="Q165" s="185"/>
    </row>
    <row r="166" spans="1:17" ht="26.25" thickBot="1">
      <c r="A166" s="128">
        <v>20011</v>
      </c>
      <c r="B166" s="130" t="s">
        <v>196</v>
      </c>
      <c r="C166" s="129">
        <v>12</v>
      </c>
      <c r="D166" s="129">
        <v>16</v>
      </c>
      <c r="E166" s="129">
        <v>13</v>
      </c>
      <c r="F166" s="483" t="s">
        <v>48</v>
      </c>
      <c r="G166" s="238"/>
      <c r="H166" s="238"/>
      <c r="I166" s="330"/>
      <c r="J166" s="545"/>
      <c r="K166" s="238"/>
      <c r="L166" s="241"/>
      <c r="M166" s="241"/>
      <c r="N166" s="240"/>
      <c r="O166" s="185"/>
      <c r="P166" s="185"/>
      <c r="Q166" s="185"/>
    </row>
    <row r="167" spans="1:17" ht="26.25" thickBot="1">
      <c r="B167" s="130"/>
      <c r="F167" s="498" t="s">
        <v>269</v>
      </c>
      <c r="G167" s="245">
        <v>16780417173.49</v>
      </c>
      <c r="H167" s="245">
        <v>26745350001.893333</v>
      </c>
      <c r="I167" s="339">
        <f>SUM(I148:I166)</f>
        <v>13165801437.98</v>
      </c>
      <c r="J167" s="546">
        <f>SUM(J148:J166)</f>
        <v>25914848098.84</v>
      </c>
      <c r="K167" s="245">
        <f t="shared" ref="K167:Q167" si="21">SUM(K148:K166)</f>
        <v>-830501903.05333877</v>
      </c>
      <c r="L167" s="474">
        <f t="shared" si="21"/>
        <v>0</v>
      </c>
      <c r="M167" s="245">
        <f t="shared" si="21"/>
        <v>0</v>
      </c>
      <c r="N167" s="265">
        <f t="shared" si="21"/>
        <v>0</v>
      </c>
      <c r="O167" s="339">
        <f t="shared" si="21"/>
        <v>17470299187.23</v>
      </c>
      <c r="P167" s="339">
        <f t="shared" si="21"/>
        <v>17819705170.950001</v>
      </c>
      <c r="Q167" s="339">
        <f t="shared" si="21"/>
        <v>3004430874.1500001</v>
      </c>
    </row>
    <row r="168" spans="1:17">
      <c r="B168" s="130"/>
      <c r="F168" s="483"/>
      <c r="G168" s="246" t="s">
        <v>1</v>
      </c>
      <c r="H168" s="238"/>
      <c r="I168" s="238" t="s">
        <v>1</v>
      </c>
      <c r="J168" s="518"/>
      <c r="K168" s="238"/>
      <c r="L168" s="241"/>
      <c r="M168" s="241"/>
      <c r="N168" s="240"/>
      <c r="O168" s="210"/>
      <c r="P168" s="210"/>
      <c r="Q168" s="210"/>
    </row>
    <row r="169" spans="1:17">
      <c r="F169" s="500" t="s">
        <v>270</v>
      </c>
      <c r="G169" s="246" t="s">
        <v>1</v>
      </c>
      <c r="H169" s="238"/>
      <c r="I169" s="238"/>
      <c r="J169" s="518"/>
      <c r="K169" s="238"/>
      <c r="L169" s="241"/>
      <c r="M169" s="241"/>
      <c r="N169" s="240"/>
      <c r="O169" s="210"/>
      <c r="P169" s="210"/>
      <c r="Q169" s="210"/>
    </row>
    <row r="170" spans="1:17">
      <c r="A170" s="128">
        <v>20012</v>
      </c>
      <c r="B170" s="130" t="s">
        <v>196</v>
      </c>
      <c r="C170" s="129">
        <v>12</v>
      </c>
      <c r="D170" s="129">
        <v>16</v>
      </c>
      <c r="E170" s="129">
        <v>20</v>
      </c>
      <c r="F170" s="483" t="s">
        <v>11</v>
      </c>
      <c r="G170" s="238">
        <v>9850473.2400000002</v>
      </c>
      <c r="H170" s="238">
        <v>8830562.4244444445</v>
      </c>
      <c r="I170" s="330">
        <v>7490208.0599999996</v>
      </c>
      <c r="J170" s="543">
        <v>10404970.289999999</v>
      </c>
      <c r="K170" s="238">
        <f t="shared" ref="K170:K178" si="22">J170-H170</f>
        <v>1574407.8655555546</v>
      </c>
      <c r="L170" s="242"/>
      <c r="M170" s="241" t="s">
        <v>1</v>
      </c>
      <c r="N170" s="240"/>
      <c r="O170" s="185">
        <v>10613069.699999999</v>
      </c>
      <c r="P170" s="185">
        <v>10825331.09</v>
      </c>
      <c r="Q170" s="185">
        <v>11041837.710000001</v>
      </c>
    </row>
    <row r="171" spans="1:17">
      <c r="A171" s="128">
        <v>20012</v>
      </c>
      <c r="B171" s="130" t="s">
        <v>196</v>
      </c>
      <c r="C171" s="129">
        <v>12</v>
      </c>
      <c r="D171" s="130" t="s">
        <v>209</v>
      </c>
      <c r="E171" s="129">
        <v>22</v>
      </c>
      <c r="F171" s="483" t="s">
        <v>222</v>
      </c>
      <c r="G171" s="238">
        <v>308039234.49000001</v>
      </c>
      <c r="H171" s="238">
        <v>134387333.00999999</v>
      </c>
      <c r="I171" s="330"/>
      <c r="J171" s="543">
        <v>161264799.61000001</v>
      </c>
      <c r="K171" s="238">
        <f t="shared" si="22"/>
        <v>26877466.600000024</v>
      </c>
      <c r="L171" s="241">
        <f>SUM(L170:L170)</f>
        <v>0</v>
      </c>
      <c r="M171" s="241">
        <f>SUM(M170:M170)</f>
        <v>0</v>
      </c>
      <c r="N171" s="240"/>
      <c r="O171" s="5">
        <v>177391279.56999999</v>
      </c>
      <c r="P171" s="5">
        <v>186260843.55000001</v>
      </c>
      <c r="Q171" s="5">
        <v>195573885.72999999</v>
      </c>
    </row>
    <row r="172" spans="1:17" s="374" customFormat="1" ht="25.5">
      <c r="A172" s="375">
        <v>20012</v>
      </c>
      <c r="B172" s="367" t="s">
        <v>196</v>
      </c>
      <c r="C172" s="229">
        <v>12</v>
      </c>
      <c r="D172" s="367" t="s">
        <v>209</v>
      </c>
      <c r="E172" s="229">
        <v>20</v>
      </c>
      <c r="F172" s="484" t="s">
        <v>50</v>
      </c>
      <c r="G172" s="369">
        <v>135040299.91</v>
      </c>
      <c r="H172" s="369">
        <v>84904982.840000004</v>
      </c>
      <c r="I172" s="370"/>
      <c r="J172" s="547">
        <v>105451988.69</v>
      </c>
      <c r="K172" s="369">
        <f t="shared" si="22"/>
        <v>20547005.849999994</v>
      </c>
      <c r="L172" s="371"/>
      <c r="M172" s="371"/>
      <c r="N172" s="372"/>
      <c r="O172" s="264">
        <v>108615548.34999999</v>
      </c>
      <c r="P172" s="264">
        <v>111874014.8</v>
      </c>
      <c r="Q172" s="264">
        <v>115230235.25</v>
      </c>
    </row>
    <row r="173" spans="1:17" ht="25.5">
      <c r="A173" s="128">
        <v>20012</v>
      </c>
      <c r="B173" s="130" t="s">
        <v>196</v>
      </c>
      <c r="C173" s="129">
        <v>12</v>
      </c>
      <c r="D173" s="130" t="s">
        <v>225</v>
      </c>
      <c r="E173" s="130" t="s">
        <v>226</v>
      </c>
      <c r="F173" s="483" t="s">
        <v>51</v>
      </c>
      <c r="G173" s="238">
        <v>892521644.24000001</v>
      </c>
      <c r="H173" s="238">
        <v>493117927.35000002</v>
      </c>
      <c r="I173" s="330"/>
      <c r="J173" s="543">
        <v>591741512.82000005</v>
      </c>
      <c r="K173" s="238">
        <f t="shared" si="22"/>
        <v>98623585.470000029</v>
      </c>
      <c r="L173" s="241"/>
      <c r="M173" s="241"/>
      <c r="N173" s="240"/>
      <c r="O173" s="185">
        <v>650915664.10000002</v>
      </c>
      <c r="P173" s="185">
        <v>683461447.30999994</v>
      </c>
      <c r="Q173" s="185">
        <v>717634519.66999996</v>
      </c>
    </row>
    <row r="174" spans="1:17">
      <c r="A174" s="128">
        <v>20012</v>
      </c>
      <c r="B174" s="130" t="s">
        <v>196</v>
      </c>
      <c r="C174" s="129">
        <v>12</v>
      </c>
      <c r="D174" s="130">
        <v>17</v>
      </c>
      <c r="E174" s="130" t="s">
        <v>208</v>
      </c>
      <c r="F174" s="483" t="s">
        <v>537</v>
      </c>
      <c r="G174" s="238"/>
      <c r="H174" s="238">
        <v>113877855.5</v>
      </c>
      <c r="I174" s="330"/>
      <c r="J174" s="543">
        <v>130959533.83</v>
      </c>
      <c r="K174" s="238">
        <f t="shared" si="22"/>
        <v>17081678.329999998</v>
      </c>
      <c r="L174" s="241"/>
      <c r="M174" s="241"/>
      <c r="N174" s="240"/>
      <c r="O174" s="185">
        <v>150603463.90000001</v>
      </c>
      <c r="P174" s="185">
        <v>88075190.209999993</v>
      </c>
      <c r="Q174" s="185">
        <v>150603463.90000001</v>
      </c>
    </row>
    <row r="175" spans="1:17">
      <c r="A175" s="128">
        <v>20012</v>
      </c>
      <c r="B175" s="130" t="s">
        <v>196</v>
      </c>
      <c r="C175" s="129">
        <v>12</v>
      </c>
      <c r="D175" s="129">
        <v>17</v>
      </c>
      <c r="E175" s="129">
        <v>25</v>
      </c>
      <c r="F175" s="496" t="s">
        <v>52</v>
      </c>
      <c r="G175" s="238">
        <v>37627109.469999999</v>
      </c>
      <c r="H175" s="238">
        <v>30189629.390000001</v>
      </c>
      <c r="I175" s="330">
        <v>25276239.289999999</v>
      </c>
      <c r="J175" s="543">
        <v>39925784.859999999</v>
      </c>
      <c r="K175" s="238">
        <f t="shared" si="22"/>
        <v>9736155.4699999988</v>
      </c>
      <c r="L175" s="241"/>
      <c r="M175" s="241"/>
      <c r="N175" s="240"/>
      <c r="O175" s="185">
        <v>41922074.100000001</v>
      </c>
      <c r="P175" s="185">
        <v>44018177.810000002</v>
      </c>
      <c r="Q175" s="185">
        <v>46219086.700000003</v>
      </c>
    </row>
    <row r="176" spans="1:17">
      <c r="A176" s="128">
        <v>20012</v>
      </c>
      <c r="B176" s="130" t="s">
        <v>196</v>
      </c>
      <c r="C176" s="129">
        <v>12</v>
      </c>
      <c r="D176" s="129">
        <v>17</v>
      </c>
      <c r="E176" s="129">
        <v>12</v>
      </c>
      <c r="F176" s="483" t="s">
        <v>223</v>
      </c>
      <c r="G176" s="238">
        <v>5280526000</v>
      </c>
      <c r="H176" s="238">
        <v>2000000000</v>
      </c>
      <c r="I176" s="330">
        <v>1287527783.6400001</v>
      </c>
      <c r="J176" s="543">
        <f>1232500000+500000000</f>
        <v>1732500000</v>
      </c>
      <c r="K176" s="238">
        <f t="shared" si="22"/>
        <v>-267500000</v>
      </c>
      <c r="L176" s="241"/>
      <c r="M176" s="241"/>
      <c r="N176" s="240"/>
      <c r="O176" s="185">
        <v>1905750000</v>
      </c>
      <c r="P176" s="185">
        <v>2001037500</v>
      </c>
      <c r="Q176" s="185">
        <v>2101089375</v>
      </c>
    </row>
    <row r="177" spans="1:20">
      <c r="A177" s="128">
        <v>20012</v>
      </c>
      <c r="B177" s="130" t="s">
        <v>196</v>
      </c>
      <c r="C177" s="129">
        <v>12</v>
      </c>
      <c r="D177" s="129">
        <v>17</v>
      </c>
      <c r="E177" s="129">
        <v>14</v>
      </c>
      <c r="F177" s="483" t="s">
        <v>224</v>
      </c>
      <c r="G177" s="238">
        <v>41500</v>
      </c>
      <c r="H177" s="238">
        <v>33000</v>
      </c>
      <c r="I177" s="330"/>
      <c r="J177" s="543">
        <v>29500</v>
      </c>
      <c r="K177" s="238">
        <f t="shared" si="22"/>
        <v>-3500</v>
      </c>
      <c r="L177" s="241">
        <f>SUM(J177:J177)</f>
        <v>29500</v>
      </c>
      <c r="M177" s="241" t="e">
        <f>#REF!-#REF!</f>
        <v>#REF!</v>
      </c>
      <c r="N177" s="240"/>
      <c r="O177" s="185">
        <v>31500</v>
      </c>
      <c r="P177" s="185">
        <v>32500</v>
      </c>
      <c r="Q177" s="185">
        <v>33500</v>
      </c>
    </row>
    <row r="178" spans="1:20" ht="13.5" thickBot="1">
      <c r="A178" s="128">
        <v>20012</v>
      </c>
      <c r="B178" s="130" t="s">
        <v>196</v>
      </c>
      <c r="C178" s="129">
        <v>12</v>
      </c>
      <c r="D178" s="129">
        <v>99</v>
      </c>
      <c r="E178" s="136">
        <v>99</v>
      </c>
      <c r="F178" s="496" t="s">
        <v>191</v>
      </c>
      <c r="G178" s="238">
        <v>917331.78</v>
      </c>
      <c r="H178" s="238">
        <v>1318160229.9411111</v>
      </c>
      <c r="I178" s="330">
        <v>1247299755.3900001</v>
      </c>
      <c r="J178" s="543">
        <v>635437.87</v>
      </c>
      <c r="K178" s="238">
        <f t="shared" si="22"/>
        <v>-1317524792.0711112</v>
      </c>
      <c r="L178" s="241">
        <f>SUM(J178:J178)</f>
        <v>635437.87</v>
      </c>
      <c r="M178" s="241" t="e">
        <f>#REF!-#REF!</f>
        <v>#REF!</v>
      </c>
      <c r="N178" s="240"/>
      <c r="O178" s="185">
        <v>476578.4</v>
      </c>
      <c r="P178" s="185">
        <v>184539.79</v>
      </c>
      <c r="Q178" s="185">
        <v>476578.4</v>
      </c>
    </row>
    <row r="179" spans="1:20" ht="13.5" thickBot="1">
      <c r="F179" s="498" t="s">
        <v>271</v>
      </c>
      <c r="G179" s="245">
        <v>6664563593.1300001</v>
      </c>
      <c r="H179" s="245">
        <v>4183501520.4555554</v>
      </c>
      <c r="I179" s="339">
        <f>SUM(I170:I178)</f>
        <v>2567593986.3800001</v>
      </c>
      <c r="J179" s="541">
        <f>SUM(J170:J178)</f>
        <v>2772913527.9700003</v>
      </c>
      <c r="K179" s="245">
        <f t="shared" ref="K179:Q179" si="23">SUM(K170:K178)</f>
        <v>-1410587992.4855556</v>
      </c>
      <c r="L179" s="474">
        <f t="shared" si="23"/>
        <v>664937.87</v>
      </c>
      <c r="M179" s="245" t="e">
        <f t="shared" si="23"/>
        <v>#REF!</v>
      </c>
      <c r="N179" s="265">
        <f t="shared" si="23"/>
        <v>0</v>
      </c>
      <c r="O179" s="245">
        <f t="shared" si="23"/>
        <v>3046319178.1200004</v>
      </c>
      <c r="P179" s="245">
        <f t="shared" si="23"/>
        <v>3125769544.5599999</v>
      </c>
      <c r="Q179" s="245">
        <f t="shared" si="23"/>
        <v>3337902482.3600001</v>
      </c>
      <c r="T179" s="5"/>
    </row>
    <row r="180" spans="1:20">
      <c r="F180" s="483"/>
      <c r="G180" s="246" t="s">
        <v>1</v>
      </c>
      <c r="H180" s="238" t="s">
        <v>1</v>
      </c>
      <c r="I180" s="238" t="s">
        <v>1</v>
      </c>
      <c r="J180" s="518" t="s">
        <v>1</v>
      </c>
      <c r="K180" s="238"/>
      <c r="L180" s="241">
        <f>SUM(J180:J180)</f>
        <v>0</v>
      </c>
      <c r="M180" s="241" t="e">
        <f>#REF!-#REF!</f>
        <v>#REF!</v>
      </c>
      <c r="N180" s="240"/>
      <c r="O180" s="210"/>
      <c r="P180" s="210"/>
      <c r="Q180" s="210"/>
    </row>
    <row r="181" spans="1:20">
      <c r="F181" s="500" t="s">
        <v>272</v>
      </c>
      <c r="G181" s="246" t="s">
        <v>1</v>
      </c>
      <c r="H181" s="238" t="s">
        <v>1</v>
      </c>
      <c r="I181" s="238" t="s">
        <v>1</v>
      </c>
      <c r="J181" s="518" t="s">
        <v>1</v>
      </c>
      <c r="K181" s="238"/>
      <c r="L181" s="241"/>
      <c r="M181" s="241"/>
      <c r="N181" s="240"/>
      <c r="O181" s="210"/>
      <c r="P181" s="210"/>
      <c r="Q181" s="210"/>
    </row>
    <row r="182" spans="1:20" ht="25.5">
      <c r="A182" s="128">
        <v>20056</v>
      </c>
      <c r="B182" s="130" t="s">
        <v>196</v>
      </c>
      <c r="C182" s="129">
        <v>12</v>
      </c>
      <c r="D182" s="130" t="s">
        <v>209</v>
      </c>
      <c r="E182" s="129">
        <v>11</v>
      </c>
      <c r="F182" s="496" t="s">
        <v>53</v>
      </c>
      <c r="G182" s="238"/>
      <c r="H182" s="238"/>
      <c r="I182" s="238" t="s">
        <v>1</v>
      </c>
      <c r="J182" s="518"/>
      <c r="K182" s="238"/>
      <c r="L182" s="241">
        <f>SUM(L177:L181)</f>
        <v>1329875.74</v>
      </c>
      <c r="M182" s="241" t="e">
        <f>SUM(M177:M180)</f>
        <v>#REF!</v>
      </c>
      <c r="N182" s="240"/>
      <c r="O182" s="210"/>
      <c r="P182" s="210"/>
      <c r="Q182" s="210"/>
    </row>
    <row r="183" spans="1:20">
      <c r="A183" s="128">
        <v>20056</v>
      </c>
      <c r="B183" s="130" t="s">
        <v>196</v>
      </c>
      <c r="C183" s="129">
        <v>12</v>
      </c>
      <c r="D183" s="130" t="s">
        <v>209</v>
      </c>
      <c r="E183" s="129">
        <v>24</v>
      </c>
      <c r="F183" s="483" t="s">
        <v>54</v>
      </c>
      <c r="G183" s="238">
        <v>327000</v>
      </c>
      <c r="H183" s="238">
        <v>440000</v>
      </c>
      <c r="I183" s="238"/>
      <c r="J183" s="518">
        <v>200000</v>
      </c>
      <c r="K183" s="238">
        <f t="shared" ref="K183:K194" si="24">J183-H183</f>
        <v>-240000</v>
      </c>
      <c r="L183" s="241"/>
      <c r="M183" s="241"/>
      <c r="N183" s="240"/>
      <c r="O183" s="210">
        <v>226000</v>
      </c>
      <c r="P183" s="210">
        <v>237000</v>
      </c>
      <c r="Q183" s="210">
        <v>429000</v>
      </c>
    </row>
    <row r="184" spans="1:20">
      <c r="A184" s="128">
        <v>20056</v>
      </c>
      <c r="B184" s="130" t="s">
        <v>196</v>
      </c>
      <c r="C184" s="129">
        <v>12</v>
      </c>
      <c r="D184" s="129">
        <v>17</v>
      </c>
      <c r="E184" s="129">
        <v>29</v>
      </c>
      <c r="F184" s="483" t="s">
        <v>55</v>
      </c>
      <c r="G184" s="238">
        <v>215000000</v>
      </c>
      <c r="H184" s="238">
        <v>200000000</v>
      </c>
      <c r="I184" s="330">
        <v>124078357.79000001</v>
      </c>
      <c r="J184" s="518">
        <v>241700000</v>
      </c>
      <c r="K184" s="238">
        <f t="shared" si="24"/>
        <v>41700000</v>
      </c>
      <c r="L184" s="241"/>
      <c r="M184" s="241"/>
      <c r="N184" s="240"/>
      <c r="O184" s="210">
        <v>259000000</v>
      </c>
      <c r="P184" s="210">
        <v>272000000</v>
      </c>
      <c r="Q184" s="210">
        <v>286000000</v>
      </c>
    </row>
    <row r="185" spans="1:20">
      <c r="A185" s="128">
        <v>20056</v>
      </c>
      <c r="B185" s="130" t="s">
        <v>196</v>
      </c>
      <c r="C185" s="129">
        <v>12</v>
      </c>
      <c r="D185" s="129">
        <v>17</v>
      </c>
      <c r="E185" s="129">
        <v>23</v>
      </c>
      <c r="F185" s="483" t="s">
        <v>325</v>
      </c>
      <c r="G185" s="238"/>
      <c r="H185" s="238"/>
      <c r="I185" s="330"/>
      <c r="J185" s="518"/>
      <c r="K185" s="238">
        <f t="shared" si="24"/>
        <v>0</v>
      </c>
      <c r="L185" s="241"/>
      <c r="M185" s="241"/>
      <c r="N185" s="240"/>
      <c r="O185" s="210"/>
      <c r="P185" s="210"/>
      <c r="Q185" s="210"/>
    </row>
    <row r="186" spans="1:20" ht="25.5">
      <c r="A186" s="128">
        <v>20056</v>
      </c>
      <c r="B186" s="130" t="s">
        <v>196</v>
      </c>
      <c r="C186" s="129">
        <v>12</v>
      </c>
      <c r="D186" s="129">
        <v>17</v>
      </c>
      <c r="E186" s="129">
        <v>40</v>
      </c>
      <c r="F186" s="483" t="s">
        <v>194</v>
      </c>
      <c r="G186" s="238">
        <v>512000</v>
      </c>
      <c r="H186" s="238">
        <v>200000</v>
      </c>
      <c r="I186" s="330">
        <v>99377.5</v>
      </c>
      <c r="J186" s="518">
        <v>200000</v>
      </c>
      <c r="K186" s="238">
        <f t="shared" si="24"/>
        <v>0</v>
      </c>
      <c r="L186" s="241"/>
      <c r="M186" s="241"/>
      <c r="N186" s="240"/>
      <c r="O186" s="210">
        <v>224000</v>
      </c>
      <c r="P186" s="210">
        <v>234000</v>
      </c>
      <c r="Q186" s="210">
        <v>246000</v>
      </c>
    </row>
    <row r="187" spans="1:20">
      <c r="A187" s="128">
        <v>20056</v>
      </c>
      <c r="B187" s="130" t="s">
        <v>196</v>
      </c>
      <c r="C187" s="129">
        <v>12</v>
      </c>
      <c r="D187" s="129">
        <v>17</v>
      </c>
      <c r="E187" s="136">
        <v>24</v>
      </c>
      <c r="F187" s="483" t="s">
        <v>56</v>
      </c>
      <c r="G187" s="238">
        <v>52000000</v>
      </c>
      <c r="H187" s="238">
        <v>60000000</v>
      </c>
      <c r="I187" s="330">
        <v>24227447.09</v>
      </c>
      <c r="J187" s="518">
        <v>56000000</v>
      </c>
      <c r="K187" s="238">
        <f t="shared" si="24"/>
        <v>-4000000</v>
      </c>
      <c r="L187" s="241">
        <f>SUM(J187:J187)</f>
        <v>56000000</v>
      </c>
      <c r="M187" s="241" t="e">
        <f>#REF!-#REF!</f>
        <v>#REF!</v>
      </c>
      <c r="N187" s="240"/>
      <c r="O187" s="210">
        <v>55000000</v>
      </c>
      <c r="P187" s="210">
        <v>57800000</v>
      </c>
      <c r="Q187" s="210">
        <v>60000000</v>
      </c>
    </row>
    <row r="188" spans="1:20">
      <c r="A188" s="128">
        <v>20056</v>
      </c>
      <c r="B188" s="130" t="s">
        <v>196</v>
      </c>
      <c r="C188" s="129">
        <v>12</v>
      </c>
      <c r="D188" s="129">
        <v>17</v>
      </c>
      <c r="E188" s="129">
        <v>26</v>
      </c>
      <c r="F188" s="483" t="s">
        <v>227</v>
      </c>
      <c r="G188" s="238"/>
      <c r="H188" s="238"/>
      <c r="I188" s="330"/>
      <c r="J188" s="518"/>
      <c r="K188" s="238">
        <f t="shared" si="24"/>
        <v>0</v>
      </c>
      <c r="L188" s="241">
        <f>SUM(J188:J188)</f>
        <v>0</v>
      </c>
      <c r="M188" s="241" t="e">
        <f>#REF!-#REF!</f>
        <v>#REF!</v>
      </c>
      <c r="N188" s="240"/>
      <c r="O188" s="210"/>
      <c r="P188" s="210"/>
      <c r="Q188" s="210"/>
    </row>
    <row r="189" spans="1:20">
      <c r="A189" s="128">
        <v>20056</v>
      </c>
      <c r="B189" s="130" t="s">
        <v>196</v>
      </c>
      <c r="C189" s="129">
        <v>12</v>
      </c>
      <c r="D189" s="129">
        <v>15</v>
      </c>
      <c r="E189" s="129">
        <v>45</v>
      </c>
      <c r="F189" s="483" t="s">
        <v>195</v>
      </c>
      <c r="G189" s="238">
        <v>16200000</v>
      </c>
      <c r="H189" s="238">
        <v>10000000</v>
      </c>
      <c r="I189" s="330">
        <v>4515920</v>
      </c>
      <c r="J189" s="518">
        <v>10000000</v>
      </c>
      <c r="K189" s="238">
        <f t="shared" si="24"/>
        <v>0</v>
      </c>
      <c r="L189" s="241">
        <f>SUM(J189:J189)</f>
        <v>10000000</v>
      </c>
      <c r="M189" s="241" t="e">
        <f>#REF!-#REF!</f>
        <v>#REF!</v>
      </c>
      <c r="N189" s="240"/>
      <c r="O189" s="210">
        <v>10200000</v>
      </c>
      <c r="P189" s="210">
        <v>10629000</v>
      </c>
      <c r="Q189" s="210">
        <v>11200000</v>
      </c>
    </row>
    <row r="190" spans="1:20" s="127" customFormat="1">
      <c r="A190" s="128">
        <v>20056</v>
      </c>
      <c r="B190" s="130" t="s">
        <v>196</v>
      </c>
      <c r="C190" s="129">
        <v>12</v>
      </c>
      <c r="D190" s="129">
        <v>17</v>
      </c>
      <c r="E190" s="129">
        <v>29</v>
      </c>
      <c r="F190" s="483" t="s">
        <v>354</v>
      </c>
      <c r="G190" s="238"/>
      <c r="H190" s="238">
        <v>0</v>
      </c>
      <c r="I190" s="330"/>
      <c r="J190" s="518">
        <v>346000000</v>
      </c>
      <c r="K190" s="238">
        <f t="shared" si="24"/>
        <v>346000000</v>
      </c>
      <c r="L190" s="338"/>
      <c r="M190" s="338"/>
      <c r="N190" s="356"/>
      <c r="O190" s="267">
        <v>361000000</v>
      </c>
      <c r="P190" s="267">
        <v>379000000</v>
      </c>
      <c r="Q190" s="267">
        <v>398000000</v>
      </c>
    </row>
    <row r="191" spans="1:20">
      <c r="A191" s="128">
        <v>20056</v>
      </c>
      <c r="B191" s="130" t="s">
        <v>196</v>
      </c>
      <c r="C191" s="129">
        <v>12</v>
      </c>
      <c r="D191" s="129">
        <v>17</v>
      </c>
      <c r="E191" s="129">
        <v>25</v>
      </c>
      <c r="F191" s="483" t="s">
        <v>57</v>
      </c>
      <c r="G191" s="238">
        <v>8000000</v>
      </c>
      <c r="H191" s="238">
        <v>9000000</v>
      </c>
      <c r="I191" s="330">
        <v>6259673.5999999996</v>
      </c>
      <c r="J191" s="518">
        <v>11000000</v>
      </c>
      <c r="K191" s="238">
        <f t="shared" si="24"/>
        <v>2000000</v>
      </c>
      <c r="L191" s="241">
        <f>SUM(J191:J191)</f>
        <v>11000000</v>
      </c>
      <c r="M191" s="241" t="e">
        <f>#REF!-#REF!</f>
        <v>#REF!</v>
      </c>
      <c r="N191" s="240"/>
      <c r="O191" s="210">
        <v>12700000</v>
      </c>
      <c r="P191" s="210">
        <v>13400000</v>
      </c>
      <c r="Q191" s="210">
        <v>14025000</v>
      </c>
    </row>
    <row r="192" spans="1:20">
      <c r="A192" s="128">
        <v>20056</v>
      </c>
      <c r="B192" s="130" t="s">
        <v>196</v>
      </c>
      <c r="C192" s="129">
        <v>12</v>
      </c>
      <c r="D192" s="129">
        <v>99</v>
      </c>
      <c r="E192" s="129">
        <v>99</v>
      </c>
      <c r="F192" s="483" t="s">
        <v>32</v>
      </c>
      <c r="G192" s="238">
        <v>23577000</v>
      </c>
      <c r="H192" s="238">
        <v>22000000</v>
      </c>
      <c r="I192" s="330">
        <v>14479194.25</v>
      </c>
      <c r="J192" s="518">
        <v>26000000</v>
      </c>
      <c r="K192" s="238">
        <f t="shared" si="24"/>
        <v>4000000</v>
      </c>
      <c r="L192" s="241">
        <f>SUM(J192:J192)</f>
        <v>26000000</v>
      </c>
      <c r="M192" s="241" t="e">
        <f>#REF!-#REF!</f>
        <v>#REF!</v>
      </c>
      <c r="N192" s="240"/>
      <c r="O192" s="210">
        <v>27250000</v>
      </c>
      <c r="P192" s="210">
        <v>28600000</v>
      </c>
      <c r="Q192" s="210">
        <v>30000000</v>
      </c>
    </row>
    <row r="193" spans="1:20">
      <c r="A193" s="128">
        <v>20056</v>
      </c>
      <c r="B193" s="130" t="s">
        <v>196</v>
      </c>
      <c r="C193" s="129">
        <v>12</v>
      </c>
      <c r="D193" s="129">
        <v>17</v>
      </c>
      <c r="E193" s="129">
        <v>30</v>
      </c>
      <c r="F193" s="483" t="s">
        <v>228</v>
      </c>
      <c r="G193" s="238"/>
      <c r="H193" s="238"/>
      <c r="I193" s="330"/>
      <c r="J193" s="518"/>
      <c r="K193" s="238">
        <f t="shared" si="24"/>
        <v>0</v>
      </c>
      <c r="L193" s="241">
        <f>SUM(J193:J193)</f>
        <v>0</v>
      </c>
      <c r="M193" s="241" t="e">
        <f>#REF!-#REF!</f>
        <v>#REF!</v>
      </c>
      <c r="N193" s="240"/>
      <c r="O193" s="210"/>
      <c r="P193" s="210"/>
      <c r="Q193" s="210"/>
    </row>
    <row r="194" spans="1:20" ht="26.25" thickBot="1">
      <c r="A194" s="128">
        <v>20056</v>
      </c>
      <c r="B194" s="130" t="s">
        <v>196</v>
      </c>
      <c r="C194" s="129">
        <v>12</v>
      </c>
      <c r="D194" s="129">
        <v>15</v>
      </c>
      <c r="E194" s="130" t="s">
        <v>231</v>
      </c>
      <c r="F194" s="483" t="s">
        <v>58</v>
      </c>
      <c r="G194" s="238"/>
      <c r="H194" s="238"/>
      <c r="I194" s="330" t="s">
        <v>1</v>
      </c>
      <c r="J194" s="518"/>
      <c r="K194" s="238">
        <f t="shared" si="24"/>
        <v>0</v>
      </c>
      <c r="L194" s="241"/>
      <c r="M194" s="241"/>
      <c r="N194" s="240"/>
      <c r="O194" s="210"/>
      <c r="P194" s="210"/>
      <c r="Q194" s="210"/>
    </row>
    <row r="195" spans="1:20" ht="26.25" thickBot="1">
      <c r="B195" s="130"/>
      <c r="F195" s="498" t="s">
        <v>273</v>
      </c>
      <c r="G195" s="343">
        <v>315616000</v>
      </c>
      <c r="H195" s="343">
        <v>301640000</v>
      </c>
      <c r="I195" s="357">
        <f>SUM(I182:I194)</f>
        <v>173659970.22999999</v>
      </c>
      <c r="J195" s="548">
        <f>SUM(J182:J194)</f>
        <v>691100000</v>
      </c>
      <c r="K195" s="343">
        <f t="shared" ref="K195:Q195" si="25">SUM(K182:K194)</f>
        <v>389460000</v>
      </c>
      <c r="L195" s="477">
        <f t="shared" si="25"/>
        <v>104329875.74000001</v>
      </c>
      <c r="M195" s="343" t="e">
        <f t="shared" si="25"/>
        <v>#REF!</v>
      </c>
      <c r="N195" s="344">
        <f t="shared" si="25"/>
        <v>0</v>
      </c>
      <c r="O195" s="343">
        <f t="shared" si="25"/>
        <v>725600000</v>
      </c>
      <c r="P195" s="343">
        <f t="shared" si="25"/>
        <v>761900000</v>
      </c>
      <c r="Q195" s="343">
        <f t="shared" si="25"/>
        <v>799900000</v>
      </c>
      <c r="T195" s="5"/>
    </row>
    <row r="196" spans="1:20">
      <c r="B196" s="130"/>
      <c r="F196" s="496"/>
      <c r="G196" s="246"/>
      <c r="H196" s="238"/>
      <c r="I196" s="358" t="s">
        <v>1</v>
      </c>
      <c r="J196" s="518"/>
      <c r="K196" s="238"/>
      <c r="L196" s="241">
        <f>SUM(J196:J196)</f>
        <v>0</v>
      </c>
      <c r="M196" s="241" t="e">
        <f>#REF!-#REF!</f>
        <v>#REF!</v>
      </c>
      <c r="N196" s="240"/>
      <c r="O196" s="210"/>
      <c r="P196" s="210"/>
      <c r="Q196" s="210"/>
      <c r="T196" s="5"/>
    </row>
    <row r="197" spans="1:20" ht="38.25">
      <c r="B197" s="130"/>
      <c r="F197" s="495" t="s">
        <v>592</v>
      </c>
      <c r="G197" s="246"/>
      <c r="H197" s="238"/>
      <c r="I197" s="358" t="s">
        <v>1</v>
      </c>
      <c r="J197" s="518"/>
      <c r="K197" s="238"/>
      <c r="L197" s="241">
        <f>SUM(J197:J197)</f>
        <v>0</v>
      </c>
      <c r="M197" s="241" t="e">
        <f>#REF!-#REF!</f>
        <v>#REF!</v>
      </c>
      <c r="N197" s="240"/>
      <c r="O197" s="210"/>
      <c r="P197" s="210"/>
      <c r="Q197" s="210"/>
      <c r="T197" s="5"/>
    </row>
    <row r="198" spans="1:20" ht="13.5" thickBot="1">
      <c r="B198" s="130"/>
      <c r="F198" s="483" t="s">
        <v>191</v>
      </c>
      <c r="G198" s="359">
        <v>0</v>
      </c>
      <c r="H198" s="359">
        <v>0</v>
      </c>
      <c r="I198" s="331">
        <v>150225.37</v>
      </c>
      <c r="J198" s="549">
        <v>342266.68</v>
      </c>
      <c r="K198" s="330">
        <f>J198-H198</f>
        <v>342266.68</v>
      </c>
      <c r="L198" s="332"/>
      <c r="M198" s="332" t="e">
        <f>M167+M178+#REF!</f>
        <v>#REF!</v>
      </c>
      <c r="N198" s="5"/>
      <c r="O198" s="360">
        <v>360167.23</v>
      </c>
      <c r="P198" s="360">
        <v>379003.97</v>
      </c>
      <c r="Q198" s="360">
        <v>398825.88</v>
      </c>
      <c r="T198" s="5"/>
    </row>
    <row r="199" spans="1:20" ht="43.5" customHeight="1" thickBot="1">
      <c r="B199" s="130"/>
      <c r="E199" s="136"/>
      <c r="F199" s="498" t="s">
        <v>593</v>
      </c>
      <c r="G199" s="345">
        <v>30012000</v>
      </c>
      <c r="H199" s="345">
        <v>30012000</v>
      </c>
      <c r="I199" s="346">
        <f t="shared" ref="I199:Q199" si="26">SUM(I198:I198)</f>
        <v>150225.37</v>
      </c>
      <c r="J199" s="550">
        <f t="shared" si="26"/>
        <v>342266.68</v>
      </c>
      <c r="K199" s="346">
        <f t="shared" si="26"/>
        <v>342266.68</v>
      </c>
      <c r="L199" s="478">
        <f t="shared" si="26"/>
        <v>0</v>
      </c>
      <c r="M199" s="346" t="e">
        <f t="shared" si="26"/>
        <v>#REF!</v>
      </c>
      <c r="N199" s="347">
        <f t="shared" si="26"/>
        <v>0</v>
      </c>
      <c r="O199" s="346">
        <f t="shared" si="26"/>
        <v>360167.23</v>
      </c>
      <c r="P199" s="346">
        <f t="shared" si="26"/>
        <v>379003.97</v>
      </c>
      <c r="Q199" s="346">
        <f t="shared" si="26"/>
        <v>398825.88</v>
      </c>
    </row>
    <row r="200" spans="1:20">
      <c r="F200" s="495" t="s">
        <v>274</v>
      </c>
      <c r="G200" s="246"/>
      <c r="H200" s="238"/>
      <c r="I200" s="358" t="s">
        <v>1</v>
      </c>
      <c r="J200" s="518"/>
      <c r="K200" s="238"/>
      <c r="L200" s="241">
        <f>SUM(J200:J200)</f>
        <v>0</v>
      </c>
      <c r="M200" s="241" t="e">
        <f>#REF!-#REF!</f>
        <v>#REF!</v>
      </c>
      <c r="N200" s="240"/>
      <c r="O200" s="210"/>
      <c r="P200" s="210"/>
      <c r="Q200" s="210"/>
    </row>
    <row r="201" spans="1:20">
      <c r="A201" s="128">
        <v>26000</v>
      </c>
      <c r="B201" s="130" t="s">
        <v>196</v>
      </c>
      <c r="C201" s="129">
        <v>12</v>
      </c>
      <c r="D201" s="129">
        <v>15</v>
      </c>
      <c r="E201" s="129">
        <v>11</v>
      </c>
      <c r="F201" s="483" t="s">
        <v>192</v>
      </c>
      <c r="G201" s="246">
        <v>15012000</v>
      </c>
      <c r="H201" s="238">
        <v>15012000</v>
      </c>
      <c r="I201" s="358"/>
      <c r="J201" s="518">
        <v>15000000</v>
      </c>
      <c r="K201" s="238">
        <f>J201-H201</f>
        <v>-12000</v>
      </c>
      <c r="L201" s="241"/>
      <c r="M201" s="241"/>
      <c r="N201" s="240"/>
      <c r="O201" s="238">
        <v>50000000</v>
      </c>
      <c r="P201" s="238">
        <v>15012000</v>
      </c>
      <c r="Q201" s="238">
        <v>60000000</v>
      </c>
    </row>
    <row r="202" spans="1:20" ht="13.5" thickBot="1">
      <c r="A202" s="140">
        <v>26000</v>
      </c>
      <c r="B202" s="138" t="s">
        <v>196</v>
      </c>
      <c r="C202" s="129">
        <v>12</v>
      </c>
      <c r="D202" s="129">
        <v>99</v>
      </c>
      <c r="E202" s="129">
        <v>99</v>
      </c>
      <c r="F202" s="483" t="s">
        <v>191</v>
      </c>
      <c r="G202" s="359">
        <v>15000000</v>
      </c>
      <c r="H202" s="359">
        <v>15000000</v>
      </c>
      <c r="I202" s="331">
        <v>480063.98</v>
      </c>
      <c r="J202" s="551">
        <v>4000000</v>
      </c>
      <c r="K202" s="238">
        <f>J202-H202</f>
        <v>-11000000</v>
      </c>
      <c r="L202" s="243"/>
      <c r="M202" s="243" t="e">
        <f>M171+M182+#REF!</f>
        <v>#REF!</v>
      </c>
      <c r="N202" s="240"/>
      <c r="O202" s="359">
        <v>4200000</v>
      </c>
      <c r="P202" s="359">
        <v>15000000</v>
      </c>
      <c r="Q202" s="359">
        <v>4400000</v>
      </c>
    </row>
    <row r="203" spans="1:20" ht="26.25" thickBot="1">
      <c r="A203" s="140"/>
      <c r="B203" s="138"/>
      <c r="F203" s="498" t="s">
        <v>276</v>
      </c>
      <c r="G203" s="345">
        <v>30012000</v>
      </c>
      <c r="H203" s="345">
        <v>30012000</v>
      </c>
      <c r="I203" s="346">
        <f>SUM(I201:I202)</f>
        <v>480063.98</v>
      </c>
      <c r="J203" s="552">
        <f>SUM(J201:J202)</f>
        <v>19000000</v>
      </c>
      <c r="K203" s="345">
        <f>SUM(K201:K202)</f>
        <v>-11012000</v>
      </c>
      <c r="L203" s="479">
        <f t="shared" ref="L203:Q203" si="27">SUM(L201:L202)</f>
        <v>0</v>
      </c>
      <c r="M203" s="345" t="e">
        <f t="shared" si="27"/>
        <v>#REF!</v>
      </c>
      <c r="N203" s="348">
        <f t="shared" si="27"/>
        <v>0</v>
      </c>
      <c r="O203" s="345">
        <f t="shared" si="27"/>
        <v>54200000</v>
      </c>
      <c r="P203" s="345">
        <f t="shared" si="27"/>
        <v>30012000</v>
      </c>
      <c r="Q203" s="345">
        <f t="shared" si="27"/>
        <v>64400000</v>
      </c>
    </row>
    <row r="204" spans="1:20">
      <c r="A204" s="140"/>
      <c r="B204" s="138"/>
      <c r="F204" s="483"/>
      <c r="G204" s="349"/>
      <c r="H204" s="359"/>
      <c r="I204" s="359" t="s">
        <v>1</v>
      </c>
      <c r="J204" s="518"/>
      <c r="K204" s="238"/>
      <c r="L204" s="243"/>
      <c r="M204" s="243"/>
      <c r="N204" s="240"/>
      <c r="O204" s="210"/>
      <c r="P204" s="210"/>
      <c r="Q204" s="210"/>
    </row>
    <row r="205" spans="1:20">
      <c r="F205" s="495" t="s">
        <v>275</v>
      </c>
      <c r="G205" s="246"/>
      <c r="H205" s="246"/>
      <c r="I205" s="238" t="s">
        <v>1</v>
      </c>
      <c r="J205" s="518"/>
      <c r="K205" s="238"/>
      <c r="L205" s="241"/>
      <c r="M205" s="241"/>
      <c r="N205" s="240"/>
      <c r="O205" s="210"/>
      <c r="P205" s="210"/>
      <c r="Q205" s="210"/>
    </row>
    <row r="206" spans="1:20" ht="25.5">
      <c r="A206" s="140">
        <v>26000</v>
      </c>
      <c r="B206" s="138">
        <v>356</v>
      </c>
      <c r="C206" s="136">
        <v>12</v>
      </c>
      <c r="D206" s="136">
        <v>10</v>
      </c>
      <c r="E206" s="130" t="s">
        <v>208</v>
      </c>
      <c r="F206" s="483" t="s">
        <v>229</v>
      </c>
      <c r="G206" s="238">
        <v>1000000</v>
      </c>
      <c r="H206" s="238">
        <v>1000000</v>
      </c>
      <c r="I206" s="238" t="s">
        <v>1</v>
      </c>
      <c r="J206" s="518"/>
      <c r="K206" s="238">
        <f>J206-H206</f>
        <v>-1000000</v>
      </c>
      <c r="L206" s="241"/>
      <c r="M206" s="241"/>
      <c r="N206" s="240"/>
      <c r="O206" s="238"/>
      <c r="P206" s="238">
        <v>1000000</v>
      </c>
      <c r="Q206" s="238"/>
    </row>
    <row r="207" spans="1:20" ht="13.5" thickBot="1">
      <c r="A207" s="128">
        <v>26000</v>
      </c>
      <c r="B207" s="130">
        <v>356</v>
      </c>
      <c r="C207" s="129">
        <v>12</v>
      </c>
      <c r="D207" s="129">
        <v>15</v>
      </c>
      <c r="E207" s="130" t="s">
        <v>215</v>
      </c>
      <c r="F207" s="483" t="s">
        <v>230</v>
      </c>
      <c r="G207" s="238">
        <v>3500000</v>
      </c>
      <c r="H207" s="238">
        <v>3500000</v>
      </c>
      <c r="I207" s="238" t="s">
        <v>1</v>
      </c>
      <c r="J207" s="518">
        <v>26000000</v>
      </c>
      <c r="K207" s="238">
        <f>J207-H207</f>
        <v>22500000</v>
      </c>
      <c r="L207" s="241"/>
      <c r="M207" s="241"/>
      <c r="N207" s="240"/>
      <c r="O207" s="238">
        <v>27000000</v>
      </c>
      <c r="P207" s="238">
        <v>3500000</v>
      </c>
      <c r="Q207" s="238">
        <v>28500000</v>
      </c>
    </row>
    <row r="208" spans="1:20" s="129" customFormat="1" ht="13.5" thickBot="1">
      <c r="A208" s="128"/>
      <c r="F208" s="498" t="s">
        <v>277</v>
      </c>
      <c r="G208" s="245">
        <v>4500000</v>
      </c>
      <c r="H208" s="245">
        <v>4500000</v>
      </c>
      <c r="I208" s="245">
        <f>SUM(I206:I207)</f>
        <v>0</v>
      </c>
      <c r="J208" s="541">
        <f>SUM(J206:J207)</f>
        <v>26000000</v>
      </c>
      <c r="K208" s="342">
        <f t="shared" ref="K208:Q208" si="28">SUM(K206:K207)</f>
        <v>21500000</v>
      </c>
      <c r="L208" s="480">
        <f t="shared" si="28"/>
        <v>0</v>
      </c>
      <c r="M208" s="342">
        <f t="shared" si="28"/>
        <v>0</v>
      </c>
      <c r="N208" s="350">
        <f t="shared" si="28"/>
        <v>0</v>
      </c>
      <c r="O208" s="342">
        <f t="shared" si="28"/>
        <v>27000000</v>
      </c>
      <c r="P208" s="342">
        <f t="shared" si="28"/>
        <v>4500000</v>
      </c>
      <c r="Q208" s="342">
        <f t="shared" si="28"/>
        <v>28500000</v>
      </c>
    </row>
    <row r="209" spans="1:17">
      <c r="F209" s="483"/>
      <c r="G209" s="246"/>
      <c r="H209" s="238"/>
      <c r="I209" s="238" t="s">
        <v>1</v>
      </c>
      <c r="J209" s="518"/>
      <c r="K209" s="238"/>
      <c r="L209" s="241"/>
      <c r="M209" s="241"/>
      <c r="N209" s="240"/>
      <c r="O209" s="210"/>
      <c r="P209" s="210"/>
      <c r="Q209" s="210"/>
    </row>
    <row r="210" spans="1:17">
      <c r="F210" s="495" t="s">
        <v>59</v>
      </c>
      <c r="G210" s="246"/>
      <c r="H210" s="238"/>
      <c r="I210" s="238" t="s">
        <v>1</v>
      </c>
      <c r="J210" s="518"/>
      <c r="K210" s="238"/>
      <c r="L210" s="241">
        <f>SUM(J210:J210)</f>
        <v>0</v>
      </c>
      <c r="M210" s="241" t="e">
        <f>#REF!-#REF!</f>
        <v>#REF!</v>
      </c>
      <c r="N210" s="240"/>
      <c r="O210" s="210"/>
      <c r="P210" s="210"/>
      <c r="Q210" s="210"/>
    </row>
    <row r="211" spans="1:17">
      <c r="A211" s="128">
        <v>26022</v>
      </c>
      <c r="B211" s="130" t="s">
        <v>196</v>
      </c>
      <c r="C211" s="129">
        <v>12</v>
      </c>
      <c r="D211" s="129">
        <v>11</v>
      </c>
      <c r="E211" s="130" t="s">
        <v>215</v>
      </c>
      <c r="F211" s="483" t="s">
        <v>60</v>
      </c>
      <c r="G211" s="238">
        <v>482369000</v>
      </c>
      <c r="H211" s="238">
        <v>35000000</v>
      </c>
      <c r="I211" s="330">
        <v>7589500</v>
      </c>
      <c r="J211" s="518">
        <v>1264512136.47</v>
      </c>
      <c r="K211" s="238">
        <f t="shared" ref="K211:K216" si="29">J211-H211</f>
        <v>1229512136.47</v>
      </c>
      <c r="L211" s="241"/>
      <c r="M211" s="241"/>
      <c r="N211" s="240"/>
      <c r="O211" s="210">
        <v>1264512136.47</v>
      </c>
      <c r="P211" s="210">
        <v>1294512136.47</v>
      </c>
      <c r="Q211" s="210">
        <v>1359237743.29</v>
      </c>
    </row>
    <row r="212" spans="1:17">
      <c r="A212" s="128">
        <v>26022</v>
      </c>
      <c r="B212" s="130" t="s">
        <v>196</v>
      </c>
      <c r="C212" s="129">
        <v>12</v>
      </c>
      <c r="D212" s="129">
        <v>11</v>
      </c>
      <c r="E212" s="130" t="s">
        <v>221</v>
      </c>
      <c r="F212" s="496" t="s">
        <v>544</v>
      </c>
      <c r="G212" s="238">
        <v>461000000</v>
      </c>
      <c r="H212" s="238">
        <v>185324333.33333334</v>
      </c>
      <c r="I212" s="330">
        <v>186382850</v>
      </c>
      <c r="J212" s="518"/>
      <c r="K212" s="238">
        <f t="shared" si="29"/>
        <v>-185324333.33333334</v>
      </c>
      <c r="L212" s="241"/>
      <c r="M212" s="241"/>
      <c r="N212" s="240"/>
      <c r="O212" s="210"/>
      <c r="P212" s="210"/>
      <c r="Q212" s="210"/>
    </row>
    <row r="213" spans="1:17">
      <c r="A213" s="128">
        <v>26022</v>
      </c>
      <c r="B213" s="130" t="s">
        <v>196</v>
      </c>
      <c r="C213" s="129">
        <v>12</v>
      </c>
      <c r="D213" s="130" t="s">
        <v>208</v>
      </c>
      <c r="E213" s="130" t="s">
        <v>226</v>
      </c>
      <c r="F213" s="483" t="s">
        <v>61</v>
      </c>
      <c r="G213" s="238"/>
      <c r="H213" s="238"/>
      <c r="I213" s="330"/>
      <c r="J213" s="518"/>
      <c r="K213" s="238">
        <f t="shared" si="29"/>
        <v>0</v>
      </c>
      <c r="L213" s="241"/>
      <c r="M213" s="241"/>
      <c r="N213" s="240"/>
      <c r="O213" s="210"/>
      <c r="P213" s="210"/>
      <c r="Q213" s="210"/>
    </row>
    <row r="214" spans="1:17">
      <c r="A214" s="128">
        <v>26022</v>
      </c>
      <c r="B214" s="130" t="s">
        <v>196</v>
      </c>
      <c r="C214" s="129">
        <v>12</v>
      </c>
      <c r="D214" s="130" t="s">
        <v>208</v>
      </c>
      <c r="E214" s="130" t="s">
        <v>231</v>
      </c>
      <c r="F214" s="483" t="s">
        <v>62</v>
      </c>
      <c r="G214" s="238"/>
      <c r="H214" s="238"/>
      <c r="I214" s="330"/>
      <c r="J214" s="518"/>
      <c r="K214" s="238">
        <f t="shared" si="29"/>
        <v>0</v>
      </c>
      <c r="L214" s="241">
        <f>SUM(J214:J214)</f>
        <v>0</v>
      </c>
      <c r="M214" s="241" t="e">
        <f>#REF!-#REF!</f>
        <v>#REF!</v>
      </c>
      <c r="N214" s="240"/>
      <c r="O214" s="210"/>
      <c r="P214" s="210"/>
      <c r="Q214" s="210"/>
    </row>
    <row r="215" spans="1:17">
      <c r="A215" s="128">
        <v>26022</v>
      </c>
      <c r="B215" s="130" t="s">
        <v>196</v>
      </c>
      <c r="C215" s="129">
        <v>12</v>
      </c>
      <c r="D215" s="129">
        <v>11</v>
      </c>
      <c r="E215" s="130" t="s">
        <v>207</v>
      </c>
      <c r="F215" s="483" t="s">
        <v>63</v>
      </c>
      <c r="G215" s="238">
        <v>18687000</v>
      </c>
      <c r="H215" s="238">
        <v>24772450</v>
      </c>
      <c r="I215" s="330"/>
      <c r="J215" s="518">
        <v>34871500</v>
      </c>
      <c r="K215" s="238">
        <f t="shared" si="29"/>
        <v>10099050</v>
      </c>
      <c r="L215" s="241">
        <f>SUM(J215:J215)</f>
        <v>34871500</v>
      </c>
      <c r="M215" s="241" t="e">
        <f>#REF!-#REF!</f>
        <v>#REF!</v>
      </c>
      <c r="N215" s="240"/>
      <c r="O215" s="210">
        <v>26115075</v>
      </c>
      <c r="P215" s="210">
        <v>27420828.75</v>
      </c>
      <c r="Q215" s="210">
        <v>28791870.190000001</v>
      </c>
    </row>
    <row r="216" spans="1:17" ht="13.5" thickBot="1">
      <c r="A216" s="128">
        <v>26022</v>
      </c>
      <c r="B216" s="130" t="s">
        <v>196</v>
      </c>
      <c r="C216" s="129">
        <v>12</v>
      </c>
      <c r="D216" s="129">
        <v>99</v>
      </c>
      <c r="E216" s="129">
        <v>99</v>
      </c>
      <c r="F216" s="483" t="s">
        <v>32</v>
      </c>
      <c r="G216" s="238">
        <v>31173880</v>
      </c>
      <c r="H216" s="238">
        <v>48766371.5</v>
      </c>
      <c r="I216" s="330">
        <v>6499398.8700000001</v>
      </c>
      <c r="J216" s="518">
        <v>38805481.329999998</v>
      </c>
      <c r="K216" s="238">
        <f t="shared" si="29"/>
        <v>-9960890.1700000018</v>
      </c>
      <c r="L216" s="241">
        <f>SUM(J216:J216)</f>
        <v>38805481.329999998</v>
      </c>
      <c r="M216" s="241" t="e">
        <f>#REF!-#REF!</f>
        <v>#REF!</v>
      </c>
      <c r="N216" s="240"/>
      <c r="O216" s="210">
        <v>42686029.460000001</v>
      </c>
      <c r="P216" s="210">
        <v>46954632.409999996</v>
      </c>
      <c r="Q216" s="210">
        <v>51650095.649999999</v>
      </c>
    </row>
    <row r="217" spans="1:17" ht="13.5" thickBot="1">
      <c r="B217" s="130"/>
      <c r="F217" s="498" t="s">
        <v>278</v>
      </c>
      <c r="G217" s="343">
        <v>993229880</v>
      </c>
      <c r="H217" s="343">
        <v>293863154.83333337</v>
      </c>
      <c r="I217" s="357">
        <f>SUM(I211:I216)</f>
        <v>200471748.87</v>
      </c>
      <c r="J217" s="548">
        <f>SUM(J211:J216)</f>
        <v>1338189117.8</v>
      </c>
      <c r="K217" s="343">
        <f t="shared" ref="K217:Q217" si="30">SUM(K211:K216)</f>
        <v>1044325962.9666667</v>
      </c>
      <c r="L217" s="477">
        <f t="shared" si="30"/>
        <v>73676981.329999998</v>
      </c>
      <c r="M217" s="343" t="e">
        <f t="shared" si="30"/>
        <v>#REF!</v>
      </c>
      <c r="N217" s="344">
        <f t="shared" si="30"/>
        <v>0</v>
      </c>
      <c r="O217" s="343">
        <f t="shared" si="30"/>
        <v>1333313240.9300001</v>
      </c>
      <c r="P217" s="343">
        <f t="shared" si="30"/>
        <v>1368887597.6300001</v>
      </c>
      <c r="Q217" s="343">
        <f t="shared" si="30"/>
        <v>1439679709.1300001</v>
      </c>
    </row>
    <row r="218" spans="1:17">
      <c r="B218" s="130"/>
      <c r="F218" s="483"/>
      <c r="G218" s="351"/>
      <c r="H218" s="358"/>
      <c r="I218" s="358" t="s">
        <v>1</v>
      </c>
      <c r="J218" s="553"/>
      <c r="K218" s="238"/>
      <c r="L218" s="241"/>
      <c r="M218" s="242"/>
      <c r="N218" s="240"/>
      <c r="O218" s="210"/>
      <c r="P218" s="210"/>
      <c r="Q218" s="210"/>
    </row>
    <row r="219" spans="1:17" ht="25.5">
      <c r="F219" s="495" t="s">
        <v>64</v>
      </c>
      <c r="G219" s="246"/>
      <c r="H219" s="238"/>
      <c r="I219" s="238" t="s">
        <v>1</v>
      </c>
      <c r="J219" s="518"/>
      <c r="K219" s="238"/>
      <c r="L219" s="241"/>
      <c r="M219" s="241"/>
      <c r="N219" s="240"/>
      <c r="O219" s="210"/>
      <c r="P219" s="210"/>
      <c r="Q219" s="210"/>
    </row>
    <row r="220" spans="1:17" ht="13.5" thickBot="1">
      <c r="A220" s="128">
        <v>26024</v>
      </c>
      <c r="B220" s="130" t="s">
        <v>196</v>
      </c>
      <c r="C220" s="129">
        <v>12</v>
      </c>
      <c r="D220" s="130" t="s">
        <v>209</v>
      </c>
      <c r="E220" s="129">
        <v>25</v>
      </c>
      <c r="F220" s="483" t="s">
        <v>232</v>
      </c>
      <c r="G220" s="238">
        <v>1222000</v>
      </c>
      <c r="H220" s="238">
        <v>1222000</v>
      </c>
      <c r="I220" s="330">
        <v>138568.98000000001</v>
      </c>
      <c r="J220" s="518">
        <v>495000</v>
      </c>
      <c r="K220" s="238">
        <f>J220-H220</f>
        <v>-727000</v>
      </c>
      <c r="L220" s="241"/>
      <c r="M220" s="241"/>
      <c r="N220" s="240"/>
      <c r="O220" s="210">
        <v>720000</v>
      </c>
      <c r="P220" s="210">
        <v>780000</v>
      </c>
      <c r="Q220" s="210">
        <v>890000</v>
      </c>
    </row>
    <row r="221" spans="1:17" ht="26.25" thickBot="1">
      <c r="B221" s="130"/>
      <c r="D221" s="130"/>
      <c r="F221" s="498" t="s">
        <v>65</v>
      </c>
      <c r="G221" s="245">
        <v>1222000</v>
      </c>
      <c r="H221" s="245">
        <v>1222000</v>
      </c>
      <c r="I221" s="339">
        <f>SUM(I220)</f>
        <v>138568.98000000001</v>
      </c>
      <c r="J221" s="541">
        <f>SUM(J220)</f>
        <v>495000</v>
      </c>
      <c r="K221" s="245">
        <f t="shared" ref="K221:Q221" si="31">SUM(K220)</f>
        <v>-727000</v>
      </c>
      <c r="L221" s="474">
        <f t="shared" si="31"/>
        <v>0</v>
      </c>
      <c r="M221" s="245">
        <f t="shared" si="31"/>
        <v>0</v>
      </c>
      <c r="N221" s="265">
        <f t="shared" si="31"/>
        <v>0</v>
      </c>
      <c r="O221" s="245">
        <f t="shared" si="31"/>
        <v>720000</v>
      </c>
      <c r="P221" s="245">
        <f t="shared" si="31"/>
        <v>780000</v>
      </c>
      <c r="Q221" s="245">
        <f t="shared" si="31"/>
        <v>890000</v>
      </c>
    </row>
    <row r="222" spans="1:17" s="374" customFormat="1">
      <c r="A222" s="375"/>
      <c r="B222" s="229"/>
      <c r="C222" s="229"/>
      <c r="D222" s="229"/>
      <c r="E222" s="229"/>
      <c r="F222" s="484"/>
      <c r="G222" s="376"/>
      <c r="H222" s="369"/>
      <c r="I222" s="369" t="s">
        <v>1</v>
      </c>
      <c r="J222" s="540"/>
      <c r="K222" s="369"/>
      <c r="L222" s="371">
        <f>SUM(J222:J222)</f>
        <v>0</v>
      </c>
      <c r="M222" s="371" t="e">
        <f>#REF!-#REF!</f>
        <v>#REF!</v>
      </c>
      <c r="N222" s="372"/>
      <c r="O222" s="373"/>
      <c r="P222" s="373"/>
      <c r="Q222" s="373"/>
    </row>
    <row r="223" spans="1:17" s="472" customFormat="1" ht="25.5">
      <c r="A223" s="464"/>
      <c r="B223" s="465"/>
      <c r="C223" s="465"/>
      <c r="D223" s="465"/>
      <c r="E223" s="466"/>
      <c r="F223" s="502" t="s">
        <v>66</v>
      </c>
      <c r="G223" s="467"/>
      <c r="H223" s="468"/>
      <c r="I223" s="468" t="s">
        <v>1</v>
      </c>
      <c r="J223" s="554"/>
      <c r="K223" s="468"/>
      <c r="L223" s="469">
        <f>SUM(J223:J223)</f>
        <v>0</v>
      </c>
      <c r="M223" s="469" t="e">
        <f>#REF!-#REF!</f>
        <v>#REF!</v>
      </c>
      <c r="N223" s="470"/>
      <c r="O223" s="471"/>
      <c r="P223" s="471"/>
      <c r="Q223" s="471"/>
    </row>
    <row r="224" spans="1:17">
      <c r="A224" s="128">
        <v>26053</v>
      </c>
      <c r="B224" s="129" t="s">
        <v>196</v>
      </c>
      <c r="C224" s="129">
        <v>12</v>
      </c>
      <c r="E224" s="136"/>
      <c r="F224" s="483" t="s">
        <v>498</v>
      </c>
      <c r="G224" s="238"/>
      <c r="H224" s="238"/>
      <c r="I224" s="238" t="s">
        <v>1</v>
      </c>
      <c r="J224" s="518">
        <v>2023296171</v>
      </c>
      <c r="K224" s="238">
        <f>J224-H224</f>
        <v>2023296171</v>
      </c>
      <c r="L224" s="241"/>
      <c r="M224" s="241"/>
      <c r="N224" s="240"/>
      <c r="O224" s="210">
        <v>2124460975</v>
      </c>
      <c r="P224" s="210">
        <v>2230684028</v>
      </c>
      <c r="Q224" s="210">
        <v>2342218229</v>
      </c>
    </row>
    <row r="225" spans="1:17">
      <c r="A225" s="128">
        <v>26053</v>
      </c>
      <c r="B225" s="129" t="s">
        <v>196</v>
      </c>
      <c r="C225" s="129">
        <v>12</v>
      </c>
      <c r="E225" s="136"/>
      <c r="F225" s="483" t="s">
        <v>499</v>
      </c>
      <c r="G225" s="238"/>
      <c r="H225" s="238"/>
      <c r="I225" s="238" t="s">
        <v>1</v>
      </c>
      <c r="J225" s="518">
        <v>99724829</v>
      </c>
      <c r="K225" s="238">
        <f>J225-H225</f>
        <v>99724829</v>
      </c>
      <c r="L225" s="241"/>
      <c r="M225" s="241"/>
      <c r="N225" s="240"/>
      <c r="O225" s="210">
        <v>104711070</v>
      </c>
      <c r="P225" s="210">
        <v>109946623</v>
      </c>
      <c r="Q225" s="210">
        <v>115443954</v>
      </c>
    </row>
    <row r="226" spans="1:17">
      <c r="A226" s="128">
        <v>26053</v>
      </c>
      <c r="B226" s="129" t="s">
        <v>196</v>
      </c>
      <c r="C226" s="129">
        <v>12</v>
      </c>
      <c r="E226" s="136"/>
      <c r="F226" s="483" t="s">
        <v>500</v>
      </c>
      <c r="G226" s="238"/>
      <c r="H226" s="238"/>
      <c r="I226" s="238" t="s">
        <v>1</v>
      </c>
      <c r="J226" s="518">
        <v>636060000</v>
      </c>
      <c r="K226" s="238">
        <f>J226-H226</f>
        <v>636060000</v>
      </c>
      <c r="L226" s="241"/>
      <c r="M226" s="241"/>
      <c r="N226" s="240"/>
      <c r="O226" s="210">
        <v>667863000</v>
      </c>
      <c r="P226" s="210">
        <v>701256150</v>
      </c>
      <c r="Q226" s="210">
        <v>736318957</v>
      </c>
    </row>
    <row r="227" spans="1:17" ht="13.5" thickBot="1">
      <c r="A227" s="128">
        <v>26053</v>
      </c>
      <c r="B227" s="129" t="s">
        <v>196</v>
      </c>
      <c r="C227" s="129">
        <v>12</v>
      </c>
      <c r="D227" s="129">
        <v>99</v>
      </c>
      <c r="E227" s="136">
        <v>99</v>
      </c>
      <c r="F227" s="483" t="s">
        <v>201</v>
      </c>
      <c r="G227" s="238"/>
      <c r="H227" s="238"/>
      <c r="I227" s="238" t="s">
        <v>1</v>
      </c>
      <c r="J227" s="518">
        <v>122000000</v>
      </c>
      <c r="K227" s="238">
        <f>J227-H227</f>
        <v>122000000</v>
      </c>
      <c r="L227" s="241"/>
      <c r="M227" s="241"/>
      <c r="N227" s="240"/>
      <c r="O227" s="210">
        <v>128100000</v>
      </c>
      <c r="P227" s="210">
        <v>134505000</v>
      </c>
      <c r="Q227" s="210">
        <v>141230250</v>
      </c>
    </row>
    <row r="228" spans="1:17" ht="26.25" thickBot="1">
      <c r="B228" s="130"/>
      <c r="F228" s="498" t="s">
        <v>452</v>
      </c>
      <c r="G228" s="335">
        <v>0</v>
      </c>
      <c r="H228" s="335">
        <v>0</v>
      </c>
      <c r="I228" s="335">
        <f>SUM(I224:I227)</f>
        <v>0</v>
      </c>
      <c r="J228" s="517">
        <f>SUM(J224:J227)</f>
        <v>2881081000</v>
      </c>
      <c r="K228" s="335">
        <f t="shared" ref="K228:Q228" si="32">SUM(K224:K227)</f>
        <v>2881081000</v>
      </c>
      <c r="L228" s="475">
        <f t="shared" si="32"/>
        <v>0</v>
      </c>
      <c r="M228" s="335">
        <f t="shared" si="32"/>
        <v>0</v>
      </c>
      <c r="N228" s="337">
        <f t="shared" si="32"/>
        <v>0</v>
      </c>
      <c r="O228" s="335">
        <f t="shared" si="32"/>
        <v>3025135045</v>
      </c>
      <c r="P228" s="335">
        <f t="shared" si="32"/>
        <v>3176391801</v>
      </c>
      <c r="Q228" s="335">
        <f t="shared" si="32"/>
        <v>3335211390</v>
      </c>
    </row>
    <row r="229" spans="1:17">
      <c r="F229" s="483"/>
      <c r="G229" s="246"/>
      <c r="H229" s="238" t="s">
        <v>1</v>
      </c>
      <c r="I229" s="358" t="s">
        <v>1</v>
      </c>
      <c r="J229" s="518" t="s">
        <v>1</v>
      </c>
      <c r="K229" s="238"/>
      <c r="L229" s="241"/>
      <c r="M229" s="241"/>
      <c r="N229" s="240"/>
      <c r="O229" s="210"/>
      <c r="P229" s="210"/>
      <c r="Q229" s="210"/>
    </row>
    <row r="230" spans="1:17">
      <c r="F230" s="500" t="s">
        <v>67</v>
      </c>
      <c r="G230" s="246"/>
      <c r="H230" s="238"/>
      <c r="I230" s="238" t="s">
        <v>1</v>
      </c>
      <c r="J230" s="518"/>
      <c r="K230" s="238"/>
      <c r="L230" s="241">
        <f>SUM(L222:L229)</f>
        <v>0</v>
      </c>
      <c r="M230" s="241" t="e">
        <f>SUM(M222:M223)</f>
        <v>#REF!</v>
      </c>
      <c r="N230" s="240"/>
      <c r="O230" s="210"/>
      <c r="P230" s="210"/>
      <c r="Q230" s="210"/>
    </row>
    <row r="231" spans="1:17">
      <c r="A231" s="128">
        <v>28000</v>
      </c>
      <c r="B231" s="130" t="s">
        <v>196</v>
      </c>
      <c r="C231" s="129">
        <v>12</v>
      </c>
      <c r="D231" s="130" t="s">
        <v>209</v>
      </c>
      <c r="E231" s="130" t="s">
        <v>208</v>
      </c>
      <c r="F231" s="483" t="s">
        <v>68</v>
      </c>
      <c r="G231" s="238">
        <v>153228728</v>
      </c>
      <c r="H231" s="238">
        <v>150000000</v>
      </c>
      <c r="I231" s="330">
        <v>78319546.069999993</v>
      </c>
      <c r="J231" s="518">
        <v>176000000</v>
      </c>
      <c r="K231" s="238">
        <f t="shared" ref="K231:K236" si="33">J231-H231</f>
        <v>26000000</v>
      </c>
      <c r="L231" s="241"/>
      <c r="M231" s="241"/>
      <c r="N231" s="240"/>
      <c r="O231" s="210">
        <v>185000000</v>
      </c>
      <c r="P231" s="210">
        <v>200000000</v>
      </c>
      <c r="Q231" s="210">
        <v>200000000</v>
      </c>
    </row>
    <row r="232" spans="1:17">
      <c r="A232" s="128">
        <v>28000</v>
      </c>
      <c r="B232" s="130" t="s">
        <v>196</v>
      </c>
      <c r="C232" s="129">
        <v>12</v>
      </c>
      <c r="D232" s="130" t="s">
        <v>209</v>
      </c>
      <c r="E232" s="130" t="s">
        <v>231</v>
      </c>
      <c r="F232" s="483" t="s">
        <v>69</v>
      </c>
      <c r="G232" s="238">
        <v>1442362</v>
      </c>
      <c r="H232" s="238"/>
      <c r="I232" s="330">
        <v>447154</v>
      </c>
      <c r="J232" s="518">
        <v>210738327</v>
      </c>
      <c r="K232" s="238">
        <f t="shared" si="33"/>
        <v>210738327</v>
      </c>
      <c r="L232" s="241"/>
      <c r="M232" s="241"/>
      <c r="N232" s="240"/>
      <c r="O232" s="210">
        <v>221500000</v>
      </c>
      <c r="P232" s="210">
        <v>232050000</v>
      </c>
      <c r="Q232" s="210">
        <v>243900000</v>
      </c>
    </row>
    <row r="233" spans="1:17" ht="25.5">
      <c r="A233" s="128">
        <v>28000</v>
      </c>
      <c r="B233" s="130" t="s">
        <v>196</v>
      </c>
      <c r="C233" s="129">
        <v>12</v>
      </c>
      <c r="D233" s="129">
        <v>16</v>
      </c>
      <c r="E233" s="129">
        <v>21</v>
      </c>
      <c r="F233" s="496" t="s">
        <v>70</v>
      </c>
      <c r="G233" s="238"/>
      <c r="H233" s="238"/>
      <c r="I233" s="330" t="s">
        <v>1</v>
      </c>
      <c r="J233" s="518">
        <v>424000</v>
      </c>
      <c r="K233" s="238">
        <f t="shared" si="33"/>
        <v>424000</v>
      </c>
      <c r="L233" s="241"/>
      <c r="M233" s="241"/>
      <c r="N233" s="240"/>
      <c r="O233" s="210">
        <v>445200</v>
      </c>
      <c r="P233" s="210">
        <v>467460</v>
      </c>
      <c r="Q233" s="210">
        <v>490833</v>
      </c>
    </row>
    <row r="234" spans="1:17">
      <c r="A234" s="128">
        <v>28000</v>
      </c>
      <c r="B234" s="130" t="s">
        <v>196</v>
      </c>
      <c r="C234" s="129">
        <v>12</v>
      </c>
      <c r="D234" s="130" t="s">
        <v>209</v>
      </c>
      <c r="E234" s="129">
        <v>18</v>
      </c>
      <c r="F234" s="483" t="s">
        <v>71</v>
      </c>
      <c r="G234" s="238"/>
      <c r="H234" s="238" t="s">
        <v>542</v>
      </c>
      <c r="I234" s="330" t="s">
        <v>1</v>
      </c>
      <c r="J234" s="518" t="s">
        <v>542</v>
      </c>
      <c r="K234" s="238">
        <v>0</v>
      </c>
      <c r="L234" s="241">
        <f>SUM(J234:J234)</f>
        <v>0</v>
      </c>
      <c r="M234" s="241" t="e">
        <f>#REF!-#REF!</f>
        <v>#REF!</v>
      </c>
      <c r="N234" s="240"/>
      <c r="O234" s="210"/>
      <c r="P234" s="210"/>
      <c r="Q234" s="210"/>
    </row>
    <row r="235" spans="1:17">
      <c r="A235" s="128">
        <v>28000</v>
      </c>
      <c r="B235" s="130" t="s">
        <v>196</v>
      </c>
      <c r="C235" s="129">
        <v>12</v>
      </c>
      <c r="D235" s="129">
        <v>11</v>
      </c>
      <c r="E235" s="136">
        <v>22</v>
      </c>
      <c r="F235" s="483" t="s">
        <v>72</v>
      </c>
      <c r="G235" s="238"/>
      <c r="H235" s="238"/>
      <c r="I235" s="330" t="s">
        <v>1</v>
      </c>
      <c r="J235" s="518">
        <v>26840000</v>
      </c>
      <c r="K235" s="238">
        <f t="shared" si="33"/>
        <v>26840000</v>
      </c>
      <c r="L235" s="241">
        <f>SUM(J235:J235)</f>
        <v>26840000</v>
      </c>
      <c r="M235" s="241" t="e">
        <f>#REF!-#REF!</f>
        <v>#REF!</v>
      </c>
      <c r="N235" s="240"/>
      <c r="O235" s="210">
        <v>28182000</v>
      </c>
      <c r="P235" s="210">
        <v>29592000</v>
      </c>
      <c r="Q235" s="210">
        <v>31071000</v>
      </c>
    </row>
    <row r="236" spans="1:17">
      <c r="A236" s="128">
        <v>28000</v>
      </c>
      <c r="B236" s="130" t="s">
        <v>196</v>
      </c>
      <c r="C236" s="129">
        <v>12</v>
      </c>
      <c r="D236" s="129">
        <v>99</v>
      </c>
      <c r="E236" s="136">
        <v>99</v>
      </c>
      <c r="F236" s="483" t="s">
        <v>32</v>
      </c>
      <c r="G236" s="238">
        <v>176048500</v>
      </c>
      <c r="H236" s="238">
        <v>152259465</v>
      </c>
      <c r="I236" s="330">
        <v>8881158.6999999993</v>
      </c>
      <c r="J236" s="518">
        <v>441000</v>
      </c>
      <c r="K236" s="238">
        <f t="shared" si="33"/>
        <v>-151818465</v>
      </c>
      <c r="L236" s="241">
        <f>SUM(J236:J236)</f>
        <v>441000</v>
      </c>
      <c r="M236" s="241" t="e">
        <f>#REF!-#REF!</f>
        <v>#REF!</v>
      </c>
      <c r="N236" s="240"/>
      <c r="O236" s="210">
        <v>463050</v>
      </c>
      <c r="P236" s="210">
        <v>486000</v>
      </c>
      <c r="Q236" s="210">
        <v>510310</v>
      </c>
    </row>
    <row r="237" spans="1:17" ht="13.5" thickBot="1">
      <c r="A237" s="128">
        <v>28001</v>
      </c>
      <c r="B237" s="130" t="s">
        <v>257</v>
      </c>
      <c r="C237" s="129">
        <v>12</v>
      </c>
      <c r="D237" s="129">
        <v>16</v>
      </c>
      <c r="E237" s="138" t="s">
        <v>221</v>
      </c>
      <c r="F237" s="483" t="s">
        <v>235</v>
      </c>
      <c r="G237" s="238"/>
      <c r="H237" s="238"/>
      <c r="I237" s="330" t="s">
        <v>1</v>
      </c>
      <c r="J237" s="518"/>
      <c r="K237" s="238"/>
      <c r="L237" s="241"/>
      <c r="M237" s="241"/>
      <c r="N237" s="240"/>
      <c r="O237" s="210"/>
      <c r="P237" s="210"/>
      <c r="Q237" s="210"/>
    </row>
    <row r="238" spans="1:17" ht="13.5" thickBot="1">
      <c r="E238" s="136"/>
      <c r="F238" s="501" t="s">
        <v>279</v>
      </c>
      <c r="G238" s="245">
        <v>330719590</v>
      </c>
      <c r="H238" s="245">
        <v>302259465</v>
      </c>
      <c r="I238" s="339">
        <f>SUM(I231:I237)</f>
        <v>87647858.769999996</v>
      </c>
      <c r="J238" s="541">
        <f>SUM(J231:J237)</f>
        <v>414443327</v>
      </c>
      <c r="K238" s="245">
        <f t="shared" ref="K238:Q238" si="34">SUM(K231:K237)</f>
        <v>112183862</v>
      </c>
      <c r="L238" s="474">
        <f t="shared" si="34"/>
        <v>27281000</v>
      </c>
      <c r="M238" s="245" t="e">
        <f t="shared" si="34"/>
        <v>#REF!</v>
      </c>
      <c r="N238" s="265">
        <f t="shared" si="34"/>
        <v>0</v>
      </c>
      <c r="O238" s="245">
        <f t="shared" si="34"/>
        <v>435590250</v>
      </c>
      <c r="P238" s="245">
        <f t="shared" si="34"/>
        <v>462595460</v>
      </c>
      <c r="Q238" s="245">
        <f t="shared" si="34"/>
        <v>475972143</v>
      </c>
    </row>
    <row r="239" spans="1:17">
      <c r="E239" s="136"/>
      <c r="F239" s="496"/>
      <c r="G239" s="246"/>
      <c r="H239" s="238"/>
      <c r="I239" s="238" t="s">
        <v>1</v>
      </c>
      <c r="J239" s="518"/>
      <c r="K239" s="238"/>
      <c r="L239" s="241"/>
      <c r="M239" s="241"/>
      <c r="N239" s="240"/>
      <c r="O239" s="210"/>
      <c r="P239" s="210"/>
      <c r="Q239" s="210"/>
    </row>
    <row r="240" spans="1:17" ht="25.5">
      <c r="F240" s="500" t="s">
        <v>73</v>
      </c>
      <c r="G240" s="246"/>
      <c r="H240" s="238"/>
      <c r="I240" s="238" t="s">
        <v>1</v>
      </c>
      <c r="J240" s="518"/>
      <c r="K240" s="238"/>
      <c r="L240" s="241">
        <f>SUM(J240:J240)</f>
        <v>0</v>
      </c>
      <c r="M240" s="241" t="e">
        <f>#REF!-#REF!</f>
        <v>#REF!</v>
      </c>
      <c r="N240" s="240"/>
      <c r="O240" s="210"/>
      <c r="P240" s="210"/>
      <c r="Q240" s="210"/>
    </row>
    <row r="241" spans="1:17" ht="25.5">
      <c r="A241" s="128">
        <v>28032</v>
      </c>
      <c r="B241" s="130" t="s">
        <v>196</v>
      </c>
      <c r="C241" s="129">
        <v>12</v>
      </c>
      <c r="D241" s="129">
        <v>15</v>
      </c>
      <c r="E241" s="129">
        <v>13</v>
      </c>
      <c r="F241" s="496" t="s">
        <v>74</v>
      </c>
      <c r="G241" s="246">
        <v>0</v>
      </c>
      <c r="H241" s="238">
        <v>10000000</v>
      </c>
      <c r="I241" s="238" t="s">
        <v>1</v>
      </c>
      <c r="J241" s="518">
        <v>6000000</v>
      </c>
      <c r="K241" s="238">
        <f>J241-H241</f>
        <v>-4000000</v>
      </c>
      <c r="L241" s="241">
        <f>SUM(J241:J241)</f>
        <v>6000000</v>
      </c>
      <c r="M241" s="241" t="e">
        <f>#REF!-#REF!</f>
        <v>#REF!</v>
      </c>
      <c r="N241" s="240"/>
      <c r="O241" s="210">
        <v>5000000</v>
      </c>
      <c r="P241" s="210">
        <v>5000000</v>
      </c>
      <c r="Q241" s="210">
        <v>5000000</v>
      </c>
    </row>
    <row r="242" spans="1:17" ht="13.5" thickBot="1">
      <c r="A242" s="128">
        <v>28032</v>
      </c>
      <c r="B242" s="130" t="s">
        <v>196</v>
      </c>
      <c r="C242" s="129">
        <v>12</v>
      </c>
      <c r="D242" s="129">
        <v>15</v>
      </c>
      <c r="E242" s="129">
        <v>50</v>
      </c>
      <c r="F242" s="496" t="s">
        <v>341</v>
      </c>
      <c r="G242" s="238"/>
      <c r="H242" s="238">
        <v>2000000</v>
      </c>
      <c r="I242" s="238" t="s">
        <v>1</v>
      </c>
      <c r="J242" s="518">
        <v>5000000</v>
      </c>
      <c r="K242" s="238">
        <f>J242-H242</f>
        <v>3000000</v>
      </c>
      <c r="L242" s="241"/>
      <c r="M242" s="241"/>
      <c r="N242" s="240"/>
      <c r="O242" s="210">
        <v>4000000</v>
      </c>
      <c r="P242" s="210">
        <v>4000000</v>
      </c>
      <c r="Q242" s="210">
        <v>4000000</v>
      </c>
    </row>
    <row r="243" spans="1:17" ht="26.25" thickBot="1">
      <c r="F243" s="498" t="s">
        <v>353</v>
      </c>
      <c r="G243" s="245">
        <v>0</v>
      </c>
      <c r="H243" s="245">
        <v>12000000</v>
      </c>
      <c r="I243" s="245">
        <f>SUM(I241:I242)</f>
        <v>0</v>
      </c>
      <c r="J243" s="541">
        <f>SUM(J241:J242)</f>
        <v>11000000</v>
      </c>
      <c r="K243" s="245">
        <f t="shared" ref="K243:Q243" si="35">SUM(K241:K242)</f>
        <v>-1000000</v>
      </c>
      <c r="L243" s="474">
        <f t="shared" si="35"/>
        <v>6000000</v>
      </c>
      <c r="M243" s="245" t="e">
        <f t="shared" si="35"/>
        <v>#REF!</v>
      </c>
      <c r="N243" s="265">
        <f t="shared" si="35"/>
        <v>0</v>
      </c>
      <c r="O243" s="245">
        <f t="shared" si="35"/>
        <v>9000000</v>
      </c>
      <c r="P243" s="245">
        <f t="shared" si="35"/>
        <v>9000000</v>
      </c>
      <c r="Q243" s="245">
        <f t="shared" si="35"/>
        <v>9000000</v>
      </c>
    </row>
    <row r="244" spans="1:17">
      <c r="F244" s="483"/>
      <c r="G244" s="246"/>
      <c r="H244" s="238"/>
      <c r="I244" s="238" t="s">
        <v>1</v>
      </c>
      <c r="J244" s="518"/>
      <c r="K244" s="238"/>
      <c r="L244" s="241"/>
      <c r="M244" s="241"/>
      <c r="N244" s="240"/>
      <c r="O244" s="210"/>
      <c r="P244" s="210"/>
      <c r="Q244" s="210"/>
    </row>
    <row r="245" spans="1:17" ht="25.5">
      <c r="F245" s="495" t="s">
        <v>75</v>
      </c>
      <c r="G245" s="246"/>
      <c r="H245" s="238"/>
      <c r="I245" s="238" t="s">
        <v>1</v>
      </c>
      <c r="J245" s="518"/>
      <c r="K245" s="238"/>
      <c r="L245" s="241">
        <f t="shared" ref="L245:L250" si="36">SUM(J245:J245)</f>
        <v>0</v>
      </c>
      <c r="M245" s="241" t="e">
        <f>#REF!-#REF!</f>
        <v>#REF!</v>
      </c>
      <c r="N245" s="240"/>
      <c r="O245" s="210"/>
      <c r="P245" s="210"/>
      <c r="Q245" s="210"/>
    </row>
    <row r="246" spans="1:17">
      <c r="A246" s="128">
        <v>30000</v>
      </c>
      <c r="B246" s="130" t="s">
        <v>196</v>
      </c>
      <c r="C246" s="129">
        <v>12</v>
      </c>
      <c r="D246" s="129">
        <v>12</v>
      </c>
      <c r="E246" s="138" t="s">
        <v>208</v>
      </c>
      <c r="F246" s="483" t="s">
        <v>76</v>
      </c>
      <c r="G246" s="238">
        <v>2567463</v>
      </c>
      <c r="H246" s="238">
        <v>2746448</v>
      </c>
      <c r="I246" s="330">
        <v>6174</v>
      </c>
      <c r="J246" s="518">
        <v>9440269</v>
      </c>
      <c r="K246" s="238">
        <f t="shared" ref="K246:K251" si="37">J246-H246</f>
        <v>6693821</v>
      </c>
      <c r="L246" s="241">
        <f t="shared" si="36"/>
        <v>9440269</v>
      </c>
      <c r="M246" s="241" t="e">
        <f>#REF!-#REF!</f>
        <v>#REF!</v>
      </c>
      <c r="N246" s="240"/>
      <c r="O246" s="210">
        <v>2695836</v>
      </c>
      <c r="P246" s="210">
        <v>2763232</v>
      </c>
      <c r="Q246" s="210">
        <v>2832313</v>
      </c>
    </row>
    <row r="247" spans="1:17">
      <c r="A247" s="128">
        <v>30000</v>
      </c>
      <c r="B247" s="130" t="s">
        <v>196</v>
      </c>
      <c r="C247" s="129">
        <v>12</v>
      </c>
      <c r="D247" s="129">
        <v>12</v>
      </c>
      <c r="E247" s="130" t="s">
        <v>215</v>
      </c>
      <c r="F247" s="483" t="s">
        <v>77</v>
      </c>
      <c r="G247" s="238">
        <v>1711642</v>
      </c>
      <c r="H247" s="238">
        <v>1830965</v>
      </c>
      <c r="I247" s="330">
        <v>6827304.9400000004</v>
      </c>
      <c r="J247" s="518">
        <v>6293512</v>
      </c>
      <c r="K247" s="238">
        <f t="shared" si="37"/>
        <v>4462547</v>
      </c>
      <c r="L247" s="241">
        <f t="shared" si="36"/>
        <v>6293512</v>
      </c>
      <c r="M247" s="241" t="e">
        <f>#REF!-#REF!</f>
        <v>#REF!</v>
      </c>
      <c r="N247" s="240"/>
      <c r="O247" s="210">
        <v>1797224</v>
      </c>
      <c r="P247" s="210">
        <v>1842155</v>
      </c>
      <c r="Q247" s="210">
        <v>1888209</v>
      </c>
    </row>
    <row r="248" spans="1:17">
      <c r="A248" s="128">
        <v>30000</v>
      </c>
      <c r="B248" s="130" t="s">
        <v>196</v>
      </c>
      <c r="C248" s="129">
        <v>12</v>
      </c>
      <c r="D248" s="129">
        <v>12</v>
      </c>
      <c r="E248" s="130" t="s">
        <v>207</v>
      </c>
      <c r="F248" s="483" t="s">
        <v>78</v>
      </c>
      <c r="G248" s="238">
        <v>427911</v>
      </c>
      <c r="H248" s="238">
        <v>457741</v>
      </c>
      <c r="I248" s="330"/>
      <c r="J248" s="518">
        <v>1573378</v>
      </c>
      <c r="K248" s="238">
        <f t="shared" si="37"/>
        <v>1115637</v>
      </c>
      <c r="L248" s="241">
        <f t="shared" si="36"/>
        <v>1573378</v>
      </c>
      <c r="M248" s="241" t="e">
        <f>#REF!-#REF!</f>
        <v>#REF!</v>
      </c>
      <c r="N248" s="240"/>
      <c r="O248" s="210">
        <v>449308</v>
      </c>
      <c r="P248" s="210">
        <v>460541</v>
      </c>
      <c r="Q248" s="210">
        <v>472055</v>
      </c>
    </row>
    <row r="249" spans="1:17">
      <c r="A249" s="128">
        <v>30000</v>
      </c>
      <c r="B249" s="130" t="s">
        <v>196</v>
      </c>
      <c r="C249" s="129">
        <v>12</v>
      </c>
      <c r="D249" s="129">
        <v>12</v>
      </c>
      <c r="E249" s="130" t="s">
        <v>221</v>
      </c>
      <c r="F249" s="483" t="s">
        <v>79</v>
      </c>
      <c r="G249" s="238">
        <v>2396299</v>
      </c>
      <c r="H249" s="238">
        <v>2563351</v>
      </c>
      <c r="I249" s="330"/>
      <c r="J249" s="518">
        <v>8810917</v>
      </c>
      <c r="K249" s="238">
        <f t="shared" si="37"/>
        <v>6247566</v>
      </c>
      <c r="L249" s="241">
        <f t="shared" si="36"/>
        <v>8810917</v>
      </c>
      <c r="M249" s="241" t="e">
        <f>#REF!-#REF!</f>
        <v>#REF!</v>
      </c>
      <c r="N249" s="240"/>
      <c r="O249" s="210">
        <v>2516114</v>
      </c>
      <c r="P249" s="210">
        <v>2579017</v>
      </c>
      <c r="Q249" s="210">
        <v>2643492</v>
      </c>
    </row>
    <row r="250" spans="1:17">
      <c r="A250" s="128">
        <v>30000</v>
      </c>
      <c r="B250" s="130" t="s">
        <v>196</v>
      </c>
      <c r="C250" s="129">
        <v>12</v>
      </c>
      <c r="D250" s="129">
        <v>99</v>
      </c>
      <c r="E250" s="130" t="s">
        <v>209</v>
      </c>
      <c r="F250" s="483" t="s">
        <v>80</v>
      </c>
      <c r="G250" s="238">
        <v>342328</v>
      </c>
      <c r="H250" s="238">
        <v>366193</v>
      </c>
      <c r="I250" s="330"/>
      <c r="J250" s="518">
        <v>1258702</v>
      </c>
      <c r="K250" s="238">
        <f t="shared" si="37"/>
        <v>892509</v>
      </c>
      <c r="L250" s="241">
        <f t="shared" si="36"/>
        <v>1258702</v>
      </c>
      <c r="M250" s="241"/>
      <c r="N250" s="240"/>
      <c r="O250" s="210">
        <v>359445</v>
      </c>
      <c r="P250" s="210">
        <v>368431</v>
      </c>
      <c r="Q250" s="210">
        <v>377642</v>
      </c>
    </row>
    <row r="251" spans="1:17" ht="13.5" thickBot="1">
      <c r="A251" s="128">
        <v>30000</v>
      </c>
      <c r="B251" s="130" t="s">
        <v>196</v>
      </c>
      <c r="C251" s="129">
        <v>12</v>
      </c>
      <c r="D251" s="129">
        <v>99</v>
      </c>
      <c r="E251" s="129">
        <v>99</v>
      </c>
      <c r="F251" s="483" t="s">
        <v>32</v>
      </c>
      <c r="G251" s="238">
        <v>1112567</v>
      </c>
      <c r="H251" s="238">
        <v>1190127</v>
      </c>
      <c r="I251" s="330">
        <v>94073.5</v>
      </c>
      <c r="J251" s="518">
        <v>4090783</v>
      </c>
      <c r="K251" s="238">
        <f t="shared" si="37"/>
        <v>2900656</v>
      </c>
      <c r="L251" s="241">
        <f>SUM(L234:L250)</f>
        <v>93938778</v>
      </c>
      <c r="M251" s="241" t="e">
        <f>SUM(M234:M249)</f>
        <v>#REF!</v>
      </c>
      <c r="N251" s="240"/>
      <c r="O251" s="210">
        <v>1168195</v>
      </c>
      <c r="P251" s="210">
        <v>1197824</v>
      </c>
      <c r="Q251" s="210">
        <v>1227944</v>
      </c>
    </row>
    <row r="252" spans="1:17" ht="26.25" thickBot="1">
      <c r="F252" s="498" t="s">
        <v>280</v>
      </c>
      <c r="G252" s="245">
        <v>8558210</v>
      </c>
      <c r="H252" s="245">
        <v>9154825</v>
      </c>
      <c r="I252" s="339">
        <f>SUM(I246:I251)</f>
        <v>6927552.4400000004</v>
      </c>
      <c r="J252" s="541">
        <f>SUM(J246:J251)</f>
        <v>31467561</v>
      </c>
      <c r="K252" s="245">
        <f t="shared" ref="K252:Q252" si="38">SUM(K246:K251)</f>
        <v>22312736</v>
      </c>
      <c r="L252" s="474">
        <f t="shared" si="38"/>
        <v>121315556</v>
      </c>
      <c r="M252" s="245" t="e">
        <f t="shared" si="38"/>
        <v>#REF!</v>
      </c>
      <c r="N252" s="265">
        <f t="shared" si="38"/>
        <v>0</v>
      </c>
      <c r="O252" s="245">
        <f t="shared" si="38"/>
        <v>8986122</v>
      </c>
      <c r="P252" s="245">
        <f t="shared" si="38"/>
        <v>9211200</v>
      </c>
      <c r="Q252" s="245">
        <f t="shared" si="38"/>
        <v>9441655</v>
      </c>
    </row>
    <row r="253" spans="1:17">
      <c r="F253" s="483"/>
      <c r="G253" s="246"/>
      <c r="H253" s="238"/>
      <c r="I253" s="238" t="s">
        <v>1</v>
      </c>
      <c r="J253" s="518"/>
      <c r="K253" s="238"/>
      <c r="L253" s="241"/>
      <c r="M253" s="241"/>
      <c r="N253" s="240"/>
      <c r="O253" s="210"/>
      <c r="P253" s="210"/>
      <c r="Q253" s="210"/>
    </row>
    <row r="254" spans="1:17" ht="25.5">
      <c r="F254" s="495" t="s">
        <v>81</v>
      </c>
      <c r="G254" s="246"/>
      <c r="H254" s="238"/>
      <c r="I254" s="238"/>
      <c r="J254" s="518"/>
      <c r="K254" s="238"/>
      <c r="L254" s="241"/>
      <c r="M254" s="241"/>
      <c r="N254" s="240"/>
      <c r="O254" s="210"/>
      <c r="P254" s="210"/>
      <c r="Q254" s="210"/>
    </row>
    <row r="255" spans="1:17">
      <c r="A255" s="128">
        <v>40000</v>
      </c>
      <c r="B255" s="130" t="s">
        <v>196</v>
      </c>
      <c r="C255" s="129">
        <v>12</v>
      </c>
      <c r="D255" s="129">
        <v>15</v>
      </c>
      <c r="E255" s="129">
        <v>14</v>
      </c>
      <c r="F255" s="483" t="s">
        <v>82</v>
      </c>
      <c r="G255" s="238">
        <v>735011000</v>
      </c>
      <c r="H255" s="238">
        <v>645604306</v>
      </c>
      <c r="I255" s="238"/>
      <c r="J255" s="518">
        <v>837825000</v>
      </c>
      <c r="K255" s="238">
        <f t="shared" ref="K255:K260" si="39">J255-H255</f>
        <v>192220694</v>
      </c>
      <c r="L255" s="241"/>
      <c r="M255" s="241"/>
      <c r="N255" s="240"/>
      <c r="O255" s="210">
        <v>840000000</v>
      </c>
      <c r="P255" s="210">
        <v>850000000</v>
      </c>
      <c r="Q255" s="210">
        <v>860000000</v>
      </c>
    </row>
    <row r="256" spans="1:17">
      <c r="A256" s="128">
        <v>40000</v>
      </c>
      <c r="B256" s="130" t="s">
        <v>196</v>
      </c>
      <c r="C256" s="129">
        <v>12</v>
      </c>
      <c r="D256" s="130" t="s">
        <v>200</v>
      </c>
      <c r="E256" s="129">
        <v>12</v>
      </c>
      <c r="F256" s="483" t="s">
        <v>83</v>
      </c>
      <c r="G256" s="238">
        <v>1587664</v>
      </c>
      <c r="H256" s="238">
        <v>1280000</v>
      </c>
      <c r="I256" s="330">
        <v>964407.6</v>
      </c>
      <c r="J256" s="518">
        <v>1000000</v>
      </c>
      <c r="K256" s="238">
        <f t="shared" si="39"/>
        <v>-280000</v>
      </c>
      <c r="L256" s="241">
        <f>SUM(J256:J256)</f>
        <v>1000000</v>
      </c>
      <c r="M256" s="241" t="e">
        <f>#REF!-#REF!</f>
        <v>#REF!</v>
      </c>
      <c r="N256" s="240"/>
      <c r="O256" s="210">
        <v>1000000</v>
      </c>
      <c r="P256" s="210">
        <v>1000000</v>
      </c>
      <c r="Q256" s="210">
        <v>1000000</v>
      </c>
    </row>
    <row r="257" spans="1:17" ht="25.5">
      <c r="A257" s="128">
        <v>40000</v>
      </c>
      <c r="B257" s="130" t="s">
        <v>196</v>
      </c>
      <c r="C257" s="129">
        <v>12</v>
      </c>
      <c r="D257" s="130" t="s">
        <v>200</v>
      </c>
      <c r="E257" s="136">
        <v>20</v>
      </c>
      <c r="F257" s="483" t="s">
        <v>84</v>
      </c>
      <c r="G257" s="238">
        <v>610000</v>
      </c>
      <c r="H257" s="238">
        <v>190000</v>
      </c>
      <c r="I257" s="330">
        <v>290010</v>
      </c>
      <c r="J257" s="518">
        <v>310000</v>
      </c>
      <c r="K257" s="238">
        <f t="shared" si="39"/>
        <v>120000</v>
      </c>
      <c r="L257" s="241">
        <f>SUM(J257:J257)</f>
        <v>310000</v>
      </c>
      <c r="M257" s="241" t="e">
        <f>#REF!-#REF!</f>
        <v>#REF!</v>
      </c>
      <c r="N257" s="240"/>
      <c r="O257" s="210">
        <v>310000</v>
      </c>
      <c r="P257" s="210">
        <v>310000</v>
      </c>
      <c r="Q257" s="210">
        <v>310000</v>
      </c>
    </row>
    <row r="258" spans="1:17">
      <c r="A258" s="128">
        <v>40000</v>
      </c>
      <c r="B258" s="130" t="s">
        <v>196</v>
      </c>
      <c r="C258" s="129">
        <v>12</v>
      </c>
      <c r="D258" s="130" t="s">
        <v>200</v>
      </c>
      <c r="E258" s="136">
        <v>23</v>
      </c>
      <c r="F258" s="483" t="s">
        <v>85</v>
      </c>
      <c r="G258" s="238"/>
      <c r="H258" s="238"/>
      <c r="I258" s="330"/>
      <c r="J258" s="518"/>
      <c r="K258" s="238">
        <f t="shared" si="39"/>
        <v>0</v>
      </c>
      <c r="L258" s="241">
        <f>SUM(J258:J258)</f>
        <v>0</v>
      </c>
      <c r="M258" s="241" t="e">
        <f>#REF!-#REF!</f>
        <v>#REF!</v>
      </c>
      <c r="N258" s="240"/>
      <c r="O258" s="210"/>
      <c r="P258" s="210"/>
      <c r="Q258" s="210"/>
    </row>
    <row r="259" spans="1:17">
      <c r="A259" s="128">
        <v>40000</v>
      </c>
      <c r="B259" s="130" t="s">
        <v>196</v>
      </c>
      <c r="C259" s="129">
        <v>12</v>
      </c>
      <c r="D259" s="130" t="s">
        <v>226</v>
      </c>
      <c r="E259" s="130" t="s">
        <v>215</v>
      </c>
      <c r="F259" s="483" t="s">
        <v>86</v>
      </c>
      <c r="G259" s="238">
        <v>1400000000</v>
      </c>
      <c r="H259" s="238">
        <v>800000000</v>
      </c>
      <c r="I259" s="330">
        <v>233372034.47</v>
      </c>
      <c r="J259" s="518">
        <v>800000000</v>
      </c>
      <c r="K259" s="238">
        <f t="shared" si="39"/>
        <v>0</v>
      </c>
      <c r="L259" s="241">
        <f>SUM(J259:J259)</f>
        <v>800000000</v>
      </c>
      <c r="M259" s="241" t="e">
        <f>#REF!-#REF!</f>
        <v>#REF!</v>
      </c>
      <c r="N259" s="240"/>
      <c r="O259" s="210">
        <v>820000000</v>
      </c>
      <c r="P259" s="210">
        <v>840000000</v>
      </c>
      <c r="Q259" s="210">
        <v>860000000</v>
      </c>
    </row>
    <row r="260" spans="1:17" ht="13.5" thickBot="1">
      <c r="A260" s="128">
        <v>40000</v>
      </c>
      <c r="B260" s="130" t="s">
        <v>196</v>
      </c>
      <c r="C260" s="129">
        <v>12</v>
      </c>
      <c r="D260" s="129">
        <v>99</v>
      </c>
      <c r="E260" s="129">
        <v>99</v>
      </c>
      <c r="F260" s="483" t="s">
        <v>32</v>
      </c>
      <c r="G260" s="238">
        <v>700000</v>
      </c>
      <c r="H260" s="238">
        <v>7744295.3799999999</v>
      </c>
      <c r="I260" s="330">
        <v>1500</v>
      </c>
      <c r="J260" s="518">
        <v>865000</v>
      </c>
      <c r="K260" s="238">
        <f t="shared" si="39"/>
        <v>-6879295.3799999999</v>
      </c>
      <c r="L260" s="241">
        <f>SUM(J260:J260)</f>
        <v>865000</v>
      </c>
      <c r="M260" s="241" t="e">
        <f>#REF!-#REF!</f>
        <v>#REF!</v>
      </c>
      <c r="N260" s="240"/>
      <c r="O260" s="210">
        <v>865000</v>
      </c>
      <c r="P260" s="210">
        <v>870000</v>
      </c>
      <c r="Q260" s="210">
        <v>870000</v>
      </c>
    </row>
    <row r="261" spans="1:17" ht="26.25" thickBot="1">
      <c r="F261" s="498" t="s">
        <v>281</v>
      </c>
      <c r="G261" s="245">
        <v>2137908664</v>
      </c>
      <c r="H261" s="245">
        <v>1454818601.3800001</v>
      </c>
      <c r="I261" s="339">
        <f>SUM(I255:I260)</f>
        <v>234627952.06999999</v>
      </c>
      <c r="J261" s="541">
        <f>SUM(J255:J260)</f>
        <v>1640000000</v>
      </c>
      <c r="K261" s="245">
        <f t="shared" ref="K261:Q261" si="40">SUM(K255:K260)</f>
        <v>185181398.62</v>
      </c>
      <c r="L261" s="474">
        <f t="shared" si="40"/>
        <v>802175000</v>
      </c>
      <c r="M261" s="245" t="e">
        <f t="shared" si="40"/>
        <v>#REF!</v>
      </c>
      <c r="N261" s="265">
        <f t="shared" si="40"/>
        <v>0</v>
      </c>
      <c r="O261" s="245">
        <f t="shared" si="40"/>
        <v>1662175000</v>
      </c>
      <c r="P261" s="245">
        <f t="shared" si="40"/>
        <v>1692180000</v>
      </c>
      <c r="Q261" s="245">
        <f t="shared" si="40"/>
        <v>1722180000</v>
      </c>
    </row>
    <row r="262" spans="1:17">
      <c r="F262" s="483"/>
      <c r="G262" s="246"/>
      <c r="H262" s="238"/>
      <c r="I262" s="238" t="s">
        <v>1</v>
      </c>
      <c r="J262" s="518"/>
      <c r="K262" s="238"/>
      <c r="L262" s="241"/>
      <c r="M262" s="241"/>
      <c r="N262" s="240"/>
      <c r="O262" s="210"/>
      <c r="P262" s="210"/>
      <c r="Q262" s="210"/>
    </row>
    <row r="263" spans="1:17" ht="25.5">
      <c r="F263" s="495" t="s">
        <v>282</v>
      </c>
      <c r="G263" s="246"/>
      <c r="H263" s="238"/>
      <c r="I263" s="238" t="s">
        <v>1</v>
      </c>
      <c r="J263" s="518"/>
      <c r="K263" s="238"/>
      <c r="L263" s="241">
        <f>SUM(J263:J263)</f>
        <v>0</v>
      </c>
      <c r="M263" s="241" t="e">
        <f>#REF!-#REF!</f>
        <v>#REF!</v>
      </c>
      <c r="N263" s="240"/>
      <c r="O263" s="210"/>
      <c r="P263" s="210"/>
      <c r="Q263" s="210"/>
    </row>
    <row r="264" spans="1:17" ht="25.5">
      <c r="A264" s="128">
        <v>41000</v>
      </c>
      <c r="B264" s="130" t="s">
        <v>196</v>
      </c>
      <c r="C264" s="129">
        <v>12</v>
      </c>
      <c r="D264" s="129">
        <v>14</v>
      </c>
      <c r="E264" s="130" t="s">
        <v>221</v>
      </c>
      <c r="F264" s="496" t="s">
        <v>87</v>
      </c>
      <c r="G264" s="238"/>
      <c r="H264" s="238"/>
      <c r="I264" s="238" t="s">
        <v>1</v>
      </c>
      <c r="J264" s="518"/>
      <c r="K264" s="238"/>
      <c r="L264" s="241">
        <f>SUM(J264:J264)</f>
        <v>0</v>
      </c>
      <c r="M264" s="241" t="e">
        <f>#REF!-#REF!</f>
        <v>#REF!</v>
      </c>
      <c r="N264" s="240"/>
      <c r="O264" s="210"/>
      <c r="P264" s="210"/>
      <c r="Q264" s="210"/>
    </row>
    <row r="265" spans="1:17">
      <c r="A265" s="128">
        <v>41000</v>
      </c>
      <c r="B265" s="130" t="s">
        <v>196</v>
      </c>
      <c r="C265" s="129">
        <v>12</v>
      </c>
      <c r="D265" s="129">
        <v>10</v>
      </c>
      <c r="E265" s="130" t="s">
        <v>215</v>
      </c>
      <c r="F265" s="483" t="s">
        <v>88</v>
      </c>
      <c r="G265" s="238">
        <v>3000000</v>
      </c>
      <c r="H265" s="238">
        <v>1200000</v>
      </c>
      <c r="I265" s="330">
        <v>273600</v>
      </c>
      <c r="J265" s="518">
        <v>1200000</v>
      </c>
      <c r="K265" s="238">
        <f>J265-H265</f>
        <v>0</v>
      </c>
      <c r="L265" s="241">
        <f>SUM(J265:J265)</f>
        <v>1200000</v>
      </c>
      <c r="M265" s="241" t="e">
        <f>#REF!-#REF!</f>
        <v>#REF!</v>
      </c>
      <c r="N265" s="240"/>
      <c r="O265" s="210">
        <v>1200000</v>
      </c>
      <c r="P265" s="210">
        <v>1200000</v>
      </c>
      <c r="Q265" s="210">
        <v>1200000</v>
      </c>
    </row>
    <row r="266" spans="1:17">
      <c r="A266" s="128">
        <v>41000</v>
      </c>
      <c r="B266" s="130" t="s">
        <v>196</v>
      </c>
      <c r="C266" s="129">
        <v>12</v>
      </c>
      <c r="D266" s="129">
        <v>14</v>
      </c>
      <c r="E266" s="130" t="s">
        <v>200</v>
      </c>
      <c r="F266" s="483" t="s">
        <v>89</v>
      </c>
      <c r="G266" s="238">
        <v>12000000</v>
      </c>
      <c r="H266" s="238">
        <v>1800000</v>
      </c>
      <c r="I266" s="330">
        <v>3218218.22</v>
      </c>
      <c r="J266" s="518">
        <v>3600000</v>
      </c>
      <c r="K266" s="238">
        <f>J266-H266</f>
        <v>1800000</v>
      </c>
      <c r="L266" s="241">
        <f>SUM(J266:J266)</f>
        <v>3600000</v>
      </c>
      <c r="M266" s="241" t="e">
        <f>#REF!-#REF!</f>
        <v>#REF!</v>
      </c>
      <c r="N266" s="240"/>
      <c r="O266" s="210">
        <v>3600000</v>
      </c>
      <c r="P266" s="210">
        <v>3600000</v>
      </c>
      <c r="Q266" s="210">
        <v>3600000</v>
      </c>
    </row>
    <row r="267" spans="1:17">
      <c r="A267" s="128">
        <v>41000</v>
      </c>
      <c r="B267" s="130" t="s">
        <v>196</v>
      </c>
      <c r="C267" s="129">
        <v>12</v>
      </c>
      <c r="D267" s="129">
        <v>14</v>
      </c>
      <c r="E267" s="130" t="s">
        <v>209</v>
      </c>
      <c r="F267" s="483" t="s">
        <v>90</v>
      </c>
      <c r="G267" s="238">
        <v>60000</v>
      </c>
      <c r="H267" s="238">
        <v>7200</v>
      </c>
      <c r="I267" s="330">
        <v>400</v>
      </c>
      <c r="J267" s="518">
        <v>7200</v>
      </c>
      <c r="K267" s="238">
        <f>J267-H267</f>
        <v>0</v>
      </c>
      <c r="L267" s="241"/>
      <c r="M267" s="241" t="e">
        <f>#REF!-#REF!</f>
        <v>#REF!</v>
      </c>
      <c r="N267" s="240"/>
      <c r="O267" s="210">
        <v>7200</v>
      </c>
      <c r="P267" s="210">
        <v>7200</v>
      </c>
      <c r="Q267" s="210">
        <v>7200</v>
      </c>
    </row>
    <row r="268" spans="1:17">
      <c r="A268" s="128">
        <v>41000</v>
      </c>
      <c r="B268" s="130" t="s">
        <v>196</v>
      </c>
      <c r="C268" s="129">
        <v>12</v>
      </c>
      <c r="D268" s="129">
        <v>99</v>
      </c>
      <c r="E268" s="130" t="s">
        <v>200</v>
      </c>
      <c r="F268" s="483" t="s">
        <v>91</v>
      </c>
      <c r="G268" s="238">
        <v>12000000</v>
      </c>
      <c r="H268" s="238">
        <v>7200000</v>
      </c>
      <c r="I268" s="330">
        <v>8897067.25</v>
      </c>
      <c r="J268" s="518">
        <v>23000000</v>
      </c>
      <c r="K268" s="238">
        <f>J268-H268</f>
        <v>15800000</v>
      </c>
      <c r="L268" s="241">
        <f>SUM(L256:L267)</f>
        <v>1609150000</v>
      </c>
      <c r="M268" s="241" t="e">
        <f>SUM(M256:M267)</f>
        <v>#REF!</v>
      </c>
      <c r="N268" s="240"/>
      <c r="O268" s="210">
        <v>23000000</v>
      </c>
      <c r="P268" s="210">
        <v>23000000</v>
      </c>
      <c r="Q268" s="210">
        <v>23000000</v>
      </c>
    </row>
    <row r="269" spans="1:17" ht="13.5" thickBot="1">
      <c r="A269" s="128">
        <v>41000</v>
      </c>
      <c r="B269" s="130" t="s">
        <v>196</v>
      </c>
      <c r="C269" s="129">
        <v>12</v>
      </c>
      <c r="D269" s="129">
        <v>99</v>
      </c>
      <c r="E269" s="129">
        <v>99</v>
      </c>
      <c r="F269" s="483" t="s">
        <v>32</v>
      </c>
      <c r="G269" s="238">
        <v>10000000</v>
      </c>
      <c r="H269" s="238">
        <v>23000000</v>
      </c>
      <c r="I269" s="330">
        <v>2450126</v>
      </c>
      <c r="J269" s="518">
        <v>6000000</v>
      </c>
      <c r="K269" s="238">
        <f>J269-H269</f>
        <v>-17000000</v>
      </c>
      <c r="L269" s="241"/>
      <c r="M269" s="241"/>
      <c r="N269" s="240"/>
      <c r="O269" s="210">
        <v>6000000</v>
      </c>
      <c r="P269" s="210">
        <v>6000000</v>
      </c>
      <c r="Q269" s="210">
        <v>6000000</v>
      </c>
    </row>
    <row r="270" spans="1:17" ht="26.25" thickBot="1">
      <c r="F270" s="498" t="s">
        <v>283</v>
      </c>
      <c r="G270" s="245">
        <v>37060000</v>
      </c>
      <c r="H270" s="245">
        <v>33207200</v>
      </c>
      <c r="I270" s="339">
        <f>SUM(I264:I269)</f>
        <v>14839411.470000001</v>
      </c>
      <c r="J270" s="541">
        <f>SUM(J264:J269)</f>
        <v>33807200</v>
      </c>
      <c r="K270" s="245">
        <f t="shared" ref="K270:Q270" si="41">SUM(K264:K269)</f>
        <v>600000</v>
      </c>
      <c r="L270" s="474">
        <f t="shared" si="41"/>
        <v>1613950000</v>
      </c>
      <c r="M270" s="245" t="e">
        <f t="shared" si="41"/>
        <v>#REF!</v>
      </c>
      <c r="N270" s="265">
        <f t="shared" si="41"/>
        <v>0</v>
      </c>
      <c r="O270" s="245">
        <f t="shared" si="41"/>
        <v>33807200</v>
      </c>
      <c r="P270" s="245">
        <f t="shared" si="41"/>
        <v>33807200</v>
      </c>
      <c r="Q270" s="245">
        <f t="shared" si="41"/>
        <v>33807200</v>
      </c>
    </row>
    <row r="271" spans="1:17">
      <c r="F271" s="483"/>
      <c r="G271" s="246"/>
      <c r="H271" s="238"/>
      <c r="I271" s="238" t="s">
        <v>527</v>
      </c>
      <c r="J271" s="518"/>
      <c r="K271" s="238"/>
      <c r="L271" s="241"/>
      <c r="M271" s="241"/>
      <c r="N271" s="240"/>
      <c r="O271" s="210"/>
      <c r="P271" s="210"/>
      <c r="Q271" s="210"/>
    </row>
    <row r="272" spans="1:17">
      <c r="E272" s="136"/>
      <c r="F272" s="500" t="s">
        <v>92</v>
      </c>
      <c r="G272" s="246"/>
      <c r="H272" s="238"/>
      <c r="I272" s="238" t="s">
        <v>1</v>
      </c>
      <c r="J272" s="518"/>
      <c r="K272" s="238"/>
      <c r="L272" s="241">
        <f>SUM(J272:J272)</f>
        <v>0</v>
      </c>
      <c r="M272" s="241" t="e">
        <f>#REF!-#REF!</f>
        <v>#REF!</v>
      </c>
      <c r="N272" s="240"/>
      <c r="O272" s="210"/>
      <c r="P272" s="210"/>
      <c r="Q272" s="210"/>
    </row>
    <row r="273" spans="1:17" s="374" customFormat="1" ht="25.5">
      <c r="A273" s="375">
        <v>42000</v>
      </c>
      <c r="B273" s="367" t="s">
        <v>196</v>
      </c>
      <c r="C273" s="229">
        <v>12</v>
      </c>
      <c r="D273" s="367" t="s">
        <v>200</v>
      </c>
      <c r="E273" s="229">
        <v>24</v>
      </c>
      <c r="F273" s="484" t="s">
        <v>93</v>
      </c>
      <c r="G273" s="369"/>
      <c r="H273" s="369"/>
      <c r="I273" s="369" t="s">
        <v>1</v>
      </c>
      <c r="J273" s="540"/>
      <c r="K273" s="369"/>
      <c r="L273" s="371">
        <f>SUM(J273:J273)</f>
        <v>0</v>
      </c>
      <c r="M273" s="371" t="e">
        <f>#REF!-#REF!</f>
        <v>#REF!</v>
      </c>
      <c r="N273" s="372"/>
      <c r="O273" s="373"/>
      <c r="P273" s="373"/>
      <c r="Q273" s="373"/>
    </row>
    <row r="274" spans="1:17">
      <c r="A274" s="128">
        <v>42000</v>
      </c>
      <c r="B274" s="130" t="s">
        <v>196</v>
      </c>
      <c r="C274" s="129">
        <v>12</v>
      </c>
      <c r="D274" s="130" t="s">
        <v>200</v>
      </c>
      <c r="E274" s="138" t="s">
        <v>215</v>
      </c>
      <c r="F274" s="483" t="s">
        <v>94</v>
      </c>
      <c r="G274" s="238">
        <v>36000000</v>
      </c>
      <c r="H274" s="238">
        <v>80000000</v>
      </c>
      <c r="I274" s="238"/>
      <c r="J274" s="518">
        <v>8450000</v>
      </c>
      <c r="K274" s="238">
        <f>J274-H274</f>
        <v>-71550000</v>
      </c>
      <c r="L274" s="241">
        <f>SUM(J274:J274)</f>
        <v>8450000</v>
      </c>
      <c r="M274" s="241" t="e">
        <f>#REF!-#REF!</f>
        <v>#REF!</v>
      </c>
      <c r="N274" s="240"/>
      <c r="O274" s="210">
        <v>80000000</v>
      </c>
      <c r="P274" s="210">
        <v>100000000</v>
      </c>
      <c r="Q274" s="210">
        <v>135000000</v>
      </c>
    </row>
    <row r="275" spans="1:17" s="374" customFormat="1" ht="25.5">
      <c r="A275" s="375">
        <v>42000</v>
      </c>
      <c r="B275" s="367" t="s">
        <v>196</v>
      </c>
      <c r="C275" s="229">
        <v>12</v>
      </c>
      <c r="D275" s="367">
        <v>99</v>
      </c>
      <c r="E275" s="367" t="s">
        <v>208</v>
      </c>
      <c r="F275" s="503" t="s">
        <v>95</v>
      </c>
      <c r="G275" s="369"/>
      <c r="H275" s="369"/>
      <c r="I275" s="369"/>
      <c r="J275" s="540"/>
      <c r="K275" s="369">
        <f>J275-H275</f>
        <v>0</v>
      </c>
      <c r="L275" s="371">
        <f>SUM(J275:J275)</f>
        <v>0</v>
      </c>
      <c r="M275" s="371" t="e">
        <f>#REF!-#REF!</f>
        <v>#REF!</v>
      </c>
      <c r="N275" s="372"/>
      <c r="O275" s="373"/>
      <c r="P275" s="373"/>
      <c r="Q275" s="373"/>
    </row>
    <row r="276" spans="1:17">
      <c r="A276" s="128">
        <v>42000</v>
      </c>
      <c r="B276" s="130" t="s">
        <v>196</v>
      </c>
      <c r="C276" s="129">
        <v>12</v>
      </c>
      <c r="D276" s="130" t="s">
        <v>226</v>
      </c>
      <c r="E276" s="138" t="s">
        <v>208</v>
      </c>
      <c r="F276" s="483" t="s">
        <v>96</v>
      </c>
      <c r="G276" s="238">
        <v>36000000</v>
      </c>
      <c r="H276" s="238">
        <v>60000000</v>
      </c>
      <c r="I276" s="238"/>
      <c r="J276" s="518">
        <v>4800000</v>
      </c>
      <c r="K276" s="238">
        <f>J276-H276</f>
        <v>-55200000</v>
      </c>
      <c r="L276" s="241"/>
      <c r="M276" s="241"/>
      <c r="N276" s="240"/>
      <c r="O276" s="210">
        <v>60000000</v>
      </c>
      <c r="P276" s="210">
        <v>65000000</v>
      </c>
      <c r="Q276" s="210">
        <v>70000000</v>
      </c>
    </row>
    <row r="277" spans="1:17">
      <c r="A277" s="128">
        <v>42000</v>
      </c>
      <c r="B277" s="130" t="s">
        <v>196</v>
      </c>
      <c r="C277" s="129">
        <v>12</v>
      </c>
      <c r="D277" s="129">
        <v>99</v>
      </c>
      <c r="E277" s="129">
        <v>99</v>
      </c>
      <c r="F277" s="483" t="s">
        <v>32</v>
      </c>
      <c r="G277" s="238">
        <v>2160000</v>
      </c>
      <c r="H277" s="238">
        <v>3200000</v>
      </c>
      <c r="I277" s="330">
        <v>46732.44</v>
      </c>
      <c r="J277" s="518">
        <v>120000</v>
      </c>
      <c r="K277" s="238">
        <f>J277-H277</f>
        <v>-3080000</v>
      </c>
      <c r="L277" s="241">
        <f>SUM(J277:J277)</f>
        <v>120000</v>
      </c>
      <c r="M277" s="241" t="e">
        <f>#REF!-#REF!</f>
        <v>#REF!</v>
      </c>
      <c r="N277" s="240"/>
      <c r="O277" s="210">
        <v>3200000</v>
      </c>
      <c r="P277" s="210">
        <v>3600000</v>
      </c>
      <c r="Q277" s="210">
        <v>4200000</v>
      </c>
    </row>
    <row r="278" spans="1:17" ht="26.25" thickBot="1">
      <c r="A278" s="128">
        <v>42000</v>
      </c>
      <c r="B278" s="130" t="s">
        <v>196</v>
      </c>
      <c r="C278" s="129">
        <v>12</v>
      </c>
      <c r="F278" s="483" t="s">
        <v>506</v>
      </c>
      <c r="G278" s="238">
        <v>216000</v>
      </c>
      <c r="H278" s="238">
        <v>540000</v>
      </c>
      <c r="I278" s="330"/>
      <c r="J278" s="518">
        <v>240000</v>
      </c>
      <c r="K278" s="238">
        <f>J278-H278</f>
        <v>-300000</v>
      </c>
      <c r="L278" s="241">
        <f>SUM(J278:J278)</f>
        <v>240000</v>
      </c>
      <c r="M278" s="241"/>
      <c r="N278" s="240"/>
      <c r="O278" s="210">
        <v>540000</v>
      </c>
      <c r="P278" s="210">
        <v>600000</v>
      </c>
      <c r="Q278" s="210">
        <v>600000</v>
      </c>
    </row>
    <row r="279" spans="1:17" ht="13.5" thickBot="1">
      <c r="E279" s="136"/>
      <c r="F279" s="498" t="s">
        <v>285</v>
      </c>
      <c r="G279" s="245">
        <v>74376000</v>
      </c>
      <c r="H279" s="245">
        <v>143740000</v>
      </c>
      <c r="I279" s="339">
        <f>SUM(I273:I278)</f>
        <v>46732.44</v>
      </c>
      <c r="J279" s="541">
        <f>SUM(J273:J278)</f>
        <v>13610000</v>
      </c>
      <c r="K279" s="245">
        <f t="shared" ref="K279:Q279" si="42">SUM(K273:K278)</f>
        <v>-130130000</v>
      </c>
      <c r="L279" s="474">
        <f t="shared" si="42"/>
        <v>8810000</v>
      </c>
      <c r="M279" s="245" t="e">
        <f t="shared" si="42"/>
        <v>#REF!</v>
      </c>
      <c r="N279" s="265">
        <f t="shared" si="42"/>
        <v>0</v>
      </c>
      <c r="O279" s="245">
        <f t="shared" si="42"/>
        <v>143740000</v>
      </c>
      <c r="P279" s="245">
        <f t="shared" si="42"/>
        <v>169200000</v>
      </c>
      <c r="Q279" s="245">
        <f t="shared" si="42"/>
        <v>209800000</v>
      </c>
    </row>
    <row r="280" spans="1:17">
      <c r="E280" s="136"/>
      <c r="F280" s="495"/>
      <c r="G280" s="244"/>
      <c r="H280" s="244"/>
      <c r="I280" s="244"/>
      <c r="J280" s="555"/>
      <c r="K280" s="244"/>
      <c r="L280" s="352"/>
      <c r="M280" s="352"/>
      <c r="N280" s="352"/>
      <c r="O280" s="244"/>
      <c r="P280" s="244"/>
      <c r="Q280" s="244"/>
    </row>
    <row r="281" spans="1:17">
      <c r="E281" s="136"/>
      <c r="F281" s="495" t="s">
        <v>584</v>
      </c>
      <c r="G281" s="246"/>
      <c r="H281" s="238"/>
      <c r="I281" s="238" t="s">
        <v>1</v>
      </c>
      <c r="J281" s="518"/>
      <c r="K281" s="238"/>
      <c r="L281" s="241">
        <f>SUM(J281:J281)</f>
        <v>0</v>
      </c>
      <c r="M281" s="241" t="e">
        <f>#REF!-#REF!</f>
        <v>#REF!</v>
      </c>
      <c r="N281" s="240"/>
      <c r="O281" s="210"/>
      <c r="P281" s="210"/>
      <c r="Q281" s="210"/>
    </row>
    <row r="282" spans="1:17">
      <c r="E282" s="136"/>
      <c r="F282" s="483" t="s">
        <v>586</v>
      </c>
      <c r="G282" s="246"/>
      <c r="H282" s="238"/>
      <c r="I282" s="238"/>
      <c r="J282" s="518"/>
      <c r="K282" s="238"/>
      <c r="L282" s="241"/>
      <c r="M282" s="241"/>
      <c r="N282" s="240"/>
      <c r="O282" s="210"/>
      <c r="P282" s="210"/>
      <c r="Q282" s="210"/>
    </row>
    <row r="283" spans="1:17" ht="25.5">
      <c r="E283" s="136"/>
      <c r="F283" s="483" t="s">
        <v>587</v>
      </c>
      <c r="G283" s="246"/>
      <c r="H283" s="238"/>
      <c r="I283" s="238"/>
      <c r="J283" s="518">
        <v>105000</v>
      </c>
      <c r="K283" s="238"/>
      <c r="L283" s="241"/>
      <c r="M283" s="241"/>
      <c r="N283" s="240"/>
      <c r="O283" s="210">
        <v>105000</v>
      </c>
      <c r="P283" s="210">
        <v>105000</v>
      </c>
      <c r="Q283" s="210">
        <v>105000</v>
      </c>
    </row>
    <row r="284" spans="1:17">
      <c r="E284" s="136"/>
      <c r="F284" s="483" t="s">
        <v>588</v>
      </c>
      <c r="G284" s="246"/>
      <c r="H284" s="238"/>
      <c r="I284" s="238"/>
      <c r="J284" s="518">
        <v>30000</v>
      </c>
      <c r="K284" s="238"/>
      <c r="L284" s="241"/>
      <c r="M284" s="241"/>
      <c r="N284" s="240"/>
      <c r="O284" s="210">
        <v>30000</v>
      </c>
      <c r="P284" s="210">
        <v>30000</v>
      </c>
      <c r="Q284" s="210">
        <v>30000</v>
      </c>
    </row>
    <row r="285" spans="1:17" ht="13.5" thickBot="1">
      <c r="E285" s="136"/>
      <c r="F285" s="483" t="s">
        <v>589</v>
      </c>
      <c r="G285" s="238"/>
      <c r="H285" s="238"/>
      <c r="I285" s="238"/>
      <c r="J285" s="518">
        <v>15000</v>
      </c>
      <c r="K285" s="238">
        <f>J285-H285</f>
        <v>15000</v>
      </c>
      <c r="L285" s="241">
        <f>SUM(J285:J285)</f>
        <v>15000</v>
      </c>
      <c r="M285" s="241" t="e">
        <f>#REF!-#REF!</f>
        <v>#REF!</v>
      </c>
      <c r="N285" s="240"/>
      <c r="O285" s="238">
        <v>15000</v>
      </c>
      <c r="P285" s="238">
        <v>15000</v>
      </c>
      <c r="Q285" s="238">
        <v>15000</v>
      </c>
    </row>
    <row r="286" spans="1:17" ht="13.5" thickBot="1">
      <c r="E286" s="136"/>
      <c r="F286" s="498" t="s">
        <v>585</v>
      </c>
      <c r="G286" s="245">
        <v>1008000</v>
      </c>
      <c r="H286" s="245">
        <v>1008000</v>
      </c>
      <c r="I286" s="245">
        <f>SUM(I285)</f>
        <v>0</v>
      </c>
      <c r="J286" s="541">
        <f>SUM(J283:J285)</f>
        <v>150000</v>
      </c>
      <c r="K286" s="245">
        <f t="shared" ref="K286:Q286" si="43">SUM(K283:K285)</f>
        <v>15000</v>
      </c>
      <c r="L286" s="474">
        <f t="shared" si="43"/>
        <v>15000</v>
      </c>
      <c r="M286" s="245" t="e">
        <f t="shared" si="43"/>
        <v>#REF!</v>
      </c>
      <c r="N286" s="245">
        <f t="shared" si="43"/>
        <v>0</v>
      </c>
      <c r="O286" s="245">
        <f t="shared" si="43"/>
        <v>150000</v>
      </c>
      <c r="P286" s="245">
        <f t="shared" si="43"/>
        <v>150000</v>
      </c>
      <c r="Q286" s="245">
        <f t="shared" si="43"/>
        <v>150000</v>
      </c>
    </row>
    <row r="287" spans="1:17">
      <c r="E287" s="136"/>
      <c r="F287" s="495"/>
      <c r="G287" s="244"/>
      <c r="H287" s="244"/>
      <c r="I287" s="244"/>
      <c r="J287" s="555"/>
      <c r="K287" s="244"/>
      <c r="L287" s="352"/>
      <c r="M287" s="352"/>
      <c r="N287" s="352"/>
      <c r="O287" s="244"/>
      <c r="P287" s="244"/>
      <c r="Q287" s="244"/>
    </row>
    <row r="288" spans="1:17">
      <c r="F288" s="495" t="s">
        <v>97</v>
      </c>
      <c r="G288" s="246"/>
      <c r="H288" s="238"/>
      <c r="I288" s="330" t="s">
        <v>1</v>
      </c>
      <c r="J288" s="518"/>
      <c r="K288" s="238"/>
      <c r="L288" s="241">
        <f>SUM(J288:J288)</f>
        <v>0</v>
      </c>
      <c r="M288" s="241" t="e">
        <f>#REF!-#REF!</f>
        <v>#REF!</v>
      </c>
      <c r="N288" s="240"/>
      <c r="O288" s="210"/>
      <c r="P288" s="210"/>
      <c r="Q288" s="210"/>
    </row>
    <row r="289" spans="1:17" ht="13.5" thickBot="1">
      <c r="A289" s="128">
        <v>42035</v>
      </c>
      <c r="B289" s="130" t="s">
        <v>196</v>
      </c>
      <c r="C289" s="129">
        <v>12</v>
      </c>
      <c r="D289" s="129">
        <v>16</v>
      </c>
      <c r="E289" s="138" t="s">
        <v>215</v>
      </c>
      <c r="F289" s="483" t="s">
        <v>98</v>
      </c>
      <c r="G289" s="238">
        <v>1008000</v>
      </c>
      <c r="H289" s="238">
        <v>1008000</v>
      </c>
      <c r="I289" s="330">
        <v>34643.5</v>
      </c>
      <c r="J289" s="518">
        <v>1008000</v>
      </c>
      <c r="K289" s="238">
        <f>J289-H289</f>
        <v>0</v>
      </c>
      <c r="L289" s="241">
        <f>SUM(J289:J289)</f>
        <v>1008000</v>
      </c>
      <c r="M289" s="241" t="e">
        <f>#REF!-#REF!</f>
        <v>#REF!</v>
      </c>
      <c r="N289" s="240"/>
      <c r="O289" s="238">
        <v>1008000</v>
      </c>
      <c r="P289" s="238">
        <v>1008000</v>
      </c>
      <c r="Q289" s="238">
        <v>1008000</v>
      </c>
    </row>
    <row r="290" spans="1:17" ht="13.5" thickBot="1">
      <c r="E290" s="136"/>
      <c r="F290" s="498" t="s">
        <v>284</v>
      </c>
      <c r="G290" s="245">
        <v>1008000</v>
      </c>
      <c r="H290" s="245">
        <v>1008000</v>
      </c>
      <c r="I290" s="339">
        <f>SUM(I289)</f>
        <v>34643.5</v>
      </c>
      <c r="J290" s="541">
        <f>SUM(J289)</f>
        <v>1008000</v>
      </c>
      <c r="K290" s="245">
        <f t="shared" ref="K290:Q290" si="44">SUM(K289)</f>
        <v>0</v>
      </c>
      <c r="L290" s="474">
        <f t="shared" si="44"/>
        <v>1008000</v>
      </c>
      <c r="M290" s="245" t="e">
        <f t="shared" si="44"/>
        <v>#REF!</v>
      </c>
      <c r="N290" s="265">
        <f t="shared" si="44"/>
        <v>0</v>
      </c>
      <c r="O290" s="245">
        <f t="shared" si="44"/>
        <v>1008000</v>
      </c>
      <c r="P290" s="245">
        <f t="shared" si="44"/>
        <v>1008000</v>
      </c>
      <c r="Q290" s="245">
        <f t="shared" si="44"/>
        <v>1008000</v>
      </c>
    </row>
    <row r="291" spans="1:17">
      <c r="E291" s="136"/>
      <c r="F291" s="483"/>
      <c r="G291" s="246"/>
      <c r="H291" s="238"/>
      <c r="I291" s="238" t="s">
        <v>1</v>
      </c>
      <c r="J291" s="518"/>
      <c r="K291" s="238"/>
      <c r="L291" s="241"/>
      <c r="M291" s="241"/>
      <c r="N291" s="240"/>
      <c r="O291" s="210"/>
      <c r="P291" s="210"/>
      <c r="Q291" s="210"/>
    </row>
    <row r="292" spans="1:17" ht="25.5">
      <c r="E292" s="136"/>
      <c r="F292" s="495" t="s">
        <v>288</v>
      </c>
      <c r="G292" s="246"/>
      <c r="H292" s="238" t="s">
        <v>1</v>
      </c>
      <c r="I292" s="238" t="s">
        <v>1</v>
      </c>
      <c r="J292" s="518" t="s">
        <v>1</v>
      </c>
      <c r="K292" s="238"/>
      <c r="L292" s="241"/>
      <c r="M292" s="241"/>
      <c r="N292" s="240"/>
      <c r="O292" s="210"/>
      <c r="P292" s="210"/>
      <c r="Q292" s="210"/>
    </row>
    <row r="293" spans="1:17">
      <c r="A293" s="128">
        <v>46000</v>
      </c>
      <c r="B293" s="130" t="s">
        <v>196</v>
      </c>
      <c r="C293" s="129">
        <v>12</v>
      </c>
      <c r="D293" s="129">
        <v>17</v>
      </c>
      <c r="E293" s="136">
        <v>14</v>
      </c>
      <c r="F293" s="483" t="s">
        <v>255</v>
      </c>
      <c r="G293" s="246">
        <v>0</v>
      </c>
      <c r="H293" s="238"/>
      <c r="I293" s="238" t="s">
        <v>1</v>
      </c>
      <c r="J293" s="515">
        <v>8000</v>
      </c>
      <c r="K293" s="238">
        <f>J293-H293</f>
        <v>8000</v>
      </c>
      <c r="L293" s="241"/>
      <c r="M293" s="241"/>
      <c r="N293" s="240"/>
      <c r="O293" s="210">
        <v>8000</v>
      </c>
      <c r="P293" s="210">
        <v>9000</v>
      </c>
      <c r="Q293" s="210">
        <v>9000</v>
      </c>
    </row>
    <row r="294" spans="1:17" ht="13.5" thickBot="1">
      <c r="A294" s="128">
        <v>46000</v>
      </c>
      <c r="B294" s="130" t="s">
        <v>196</v>
      </c>
      <c r="C294" s="129">
        <v>12</v>
      </c>
      <c r="D294" s="129">
        <v>99</v>
      </c>
      <c r="E294" s="136">
        <v>99</v>
      </c>
      <c r="F294" s="483" t="s">
        <v>191</v>
      </c>
      <c r="G294" s="238">
        <v>350000</v>
      </c>
      <c r="H294" s="238">
        <v>115000</v>
      </c>
      <c r="I294" s="238"/>
      <c r="J294" s="518">
        <v>50000</v>
      </c>
      <c r="K294" s="238">
        <f>J294-H294</f>
        <v>-65000</v>
      </c>
      <c r="L294" s="241"/>
      <c r="M294" s="241"/>
      <c r="N294" s="240"/>
      <c r="O294" s="210">
        <v>50000</v>
      </c>
      <c r="P294" s="210">
        <v>60000</v>
      </c>
      <c r="Q294" s="210">
        <v>60000</v>
      </c>
    </row>
    <row r="295" spans="1:17" ht="39" thickBot="1">
      <c r="E295" s="136"/>
      <c r="F295" s="498" t="s">
        <v>287</v>
      </c>
      <c r="G295" s="245">
        <v>350000</v>
      </c>
      <c r="H295" s="245">
        <v>115000</v>
      </c>
      <c r="I295" s="245">
        <f>SUM(I293:I294)</f>
        <v>0</v>
      </c>
      <c r="J295" s="541">
        <f>SUM(J293:J294)</f>
        <v>58000</v>
      </c>
      <c r="K295" s="245">
        <f t="shared" ref="K295:Q295" si="45">SUM(K293:K294)</f>
        <v>-57000</v>
      </c>
      <c r="L295" s="474">
        <f t="shared" si="45"/>
        <v>0</v>
      </c>
      <c r="M295" s="245">
        <f t="shared" si="45"/>
        <v>0</v>
      </c>
      <c r="N295" s="265">
        <f t="shared" si="45"/>
        <v>0</v>
      </c>
      <c r="O295" s="245">
        <f t="shared" si="45"/>
        <v>58000</v>
      </c>
      <c r="P295" s="245">
        <f t="shared" si="45"/>
        <v>69000</v>
      </c>
      <c r="Q295" s="245">
        <f t="shared" si="45"/>
        <v>69000</v>
      </c>
    </row>
    <row r="296" spans="1:17">
      <c r="E296" s="136"/>
      <c r="F296" s="483"/>
      <c r="G296" s="246"/>
      <c r="H296" s="238"/>
      <c r="I296" s="238" t="s">
        <v>1</v>
      </c>
      <c r="J296" s="518"/>
      <c r="K296" s="238"/>
      <c r="L296" s="241"/>
      <c r="M296" s="241"/>
      <c r="N296" s="240"/>
      <c r="O296" s="210"/>
      <c r="P296" s="210"/>
      <c r="Q296" s="210"/>
    </row>
    <row r="297" spans="1:17" ht="25.5">
      <c r="F297" s="500" t="s">
        <v>289</v>
      </c>
      <c r="G297" s="246"/>
      <c r="H297" s="238"/>
      <c r="I297" s="238" t="s">
        <v>1</v>
      </c>
      <c r="J297" s="518"/>
      <c r="K297" s="238"/>
      <c r="L297" s="241">
        <f>SUM(L272:L290)</f>
        <v>19666000</v>
      </c>
      <c r="M297" s="241" t="e">
        <f>SUM(M272:M289)</f>
        <v>#REF!</v>
      </c>
      <c r="N297" s="240"/>
      <c r="O297" s="210"/>
      <c r="P297" s="210"/>
      <c r="Q297" s="210"/>
    </row>
    <row r="298" spans="1:17">
      <c r="A298" s="128">
        <v>50000</v>
      </c>
      <c r="B298" s="130" t="s">
        <v>196</v>
      </c>
      <c r="C298" s="129">
        <v>12</v>
      </c>
      <c r="D298" s="129">
        <v>16</v>
      </c>
      <c r="E298" s="129">
        <v>19</v>
      </c>
      <c r="F298" s="483" t="s">
        <v>233</v>
      </c>
      <c r="G298" s="238">
        <v>1600000</v>
      </c>
      <c r="H298" s="238"/>
      <c r="I298" s="238" t="s">
        <v>1</v>
      </c>
      <c r="J298" s="518"/>
      <c r="K298" s="238">
        <f>J298-H298</f>
        <v>0</v>
      </c>
      <c r="L298" s="241"/>
      <c r="M298" s="241"/>
      <c r="N298" s="240"/>
      <c r="O298" s="210"/>
      <c r="P298" s="210"/>
      <c r="Q298" s="210"/>
    </row>
    <row r="299" spans="1:17">
      <c r="A299" s="128">
        <v>50000</v>
      </c>
      <c r="B299" s="130" t="s">
        <v>196</v>
      </c>
      <c r="C299" s="129">
        <v>12</v>
      </c>
      <c r="D299" s="129">
        <v>99</v>
      </c>
      <c r="E299" s="129">
        <v>99</v>
      </c>
      <c r="F299" s="496" t="s">
        <v>191</v>
      </c>
      <c r="G299" s="238"/>
      <c r="H299" s="238"/>
      <c r="I299" s="238"/>
      <c r="J299" s="518"/>
      <c r="K299" s="238">
        <f>J299-H299</f>
        <v>0</v>
      </c>
      <c r="L299" s="241"/>
      <c r="M299" s="241"/>
      <c r="N299" s="240"/>
      <c r="O299" s="238"/>
      <c r="P299" s="246"/>
      <c r="Q299" s="246"/>
    </row>
    <row r="300" spans="1:17">
      <c r="A300" s="128">
        <v>50000</v>
      </c>
      <c r="B300" s="141" t="s">
        <v>196</v>
      </c>
      <c r="C300" s="129">
        <v>12</v>
      </c>
      <c r="D300" s="129">
        <v>15</v>
      </c>
      <c r="E300" s="129">
        <v>53</v>
      </c>
      <c r="F300" s="496" t="s">
        <v>99</v>
      </c>
      <c r="G300" s="238">
        <v>12262392</v>
      </c>
      <c r="H300" s="238"/>
      <c r="I300" s="238" t="s">
        <v>1</v>
      </c>
      <c r="J300" s="518"/>
      <c r="K300" s="238">
        <f>J300-H300</f>
        <v>0</v>
      </c>
      <c r="L300" s="241"/>
      <c r="M300" s="241"/>
      <c r="N300" s="240"/>
      <c r="O300" s="210"/>
      <c r="P300" s="210"/>
      <c r="Q300" s="210"/>
    </row>
    <row r="301" spans="1:17" ht="13.5" thickBot="1">
      <c r="A301" s="128">
        <v>50000</v>
      </c>
      <c r="B301" s="141" t="s">
        <v>196</v>
      </c>
      <c r="C301" s="129">
        <v>12</v>
      </c>
      <c r="D301" s="129">
        <v>99</v>
      </c>
      <c r="E301" s="129">
        <v>99</v>
      </c>
      <c r="F301" s="496" t="s">
        <v>100</v>
      </c>
      <c r="G301" s="238"/>
      <c r="H301" s="238"/>
      <c r="I301" s="238" t="s">
        <v>1</v>
      </c>
      <c r="J301" s="518"/>
      <c r="K301" s="238">
        <f>J301-H301</f>
        <v>0</v>
      </c>
      <c r="L301" s="241"/>
      <c r="M301" s="241"/>
      <c r="N301" s="240"/>
      <c r="O301" s="210"/>
      <c r="P301" s="210"/>
      <c r="Q301" s="210"/>
    </row>
    <row r="302" spans="1:17" ht="39" thickBot="1">
      <c r="F302" s="501" t="s">
        <v>290</v>
      </c>
      <c r="G302" s="245">
        <v>13862392</v>
      </c>
      <c r="H302" s="245">
        <v>0</v>
      </c>
      <c r="I302" s="245">
        <f t="shared" ref="I302:Q302" si="46">SUM(I298:I301)</f>
        <v>0</v>
      </c>
      <c r="J302" s="541">
        <f t="shared" si="46"/>
        <v>0</v>
      </c>
      <c r="K302" s="245">
        <f t="shared" si="46"/>
        <v>0</v>
      </c>
      <c r="L302" s="474">
        <f t="shared" si="46"/>
        <v>0</v>
      </c>
      <c r="M302" s="245">
        <f t="shared" si="46"/>
        <v>0</v>
      </c>
      <c r="N302" s="265">
        <f t="shared" si="46"/>
        <v>0</v>
      </c>
      <c r="O302" s="245">
        <f t="shared" si="46"/>
        <v>0</v>
      </c>
      <c r="P302" s="245">
        <f t="shared" si="46"/>
        <v>0</v>
      </c>
      <c r="Q302" s="245">
        <f t="shared" si="46"/>
        <v>0</v>
      </c>
    </row>
    <row r="303" spans="1:17">
      <c r="F303" s="500"/>
      <c r="G303" s="244"/>
      <c r="H303" s="244"/>
      <c r="I303" s="244"/>
      <c r="J303" s="555"/>
      <c r="K303" s="244"/>
      <c r="L303" s="241"/>
      <c r="M303" s="241"/>
      <c r="N303" s="240"/>
      <c r="O303" s="210"/>
      <c r="P303" s="210"/>
      <c r="Q303" s="210"/>
    </row>
    <row r="304" spans="1:17" ht="25.5">
      <c r="F304" s="500" t="s">
        <v>538</v>
      </c>
      <c r="G304" s="246"/>
      <c r="H304" s="238"/>
      <c r="I304" s="238" t="s">
        <v>1</v>
      </c>
      <c r="J304" s="518"/>
      <c r="K304" s="238"/>
      <c r="L304" s="241"/>
      <c r="M304" s="241"/>
      <c r="N304" s="240"/>
      <c r="O304" s="210"/>
      <c r="P304" s="210"/>
      <c r="Q304" s="210"/>
    </row>
    <row r="305" spans="1:17">
      <c r="A305" s="128">
        <v>51000</v>
      </c>
      <c r="B305" s="141" t="s">
        <v>196</v>
      </c>
      <c r="C305" s="129">
        <v>12</v>
      </c>
      <c r="D305" s="129">
        <v>99</v>
      </c>
      <c r="E305" s="129">
        <v>99</v>
      </c>
      <c r="F305" s="496" t="s">
        <v>100</v>
      </c>
      <c r="G305" s="238">
        <v>0</v>
      </c>
      <c r="H305" s="238">
        <v>0</v>
      </c>
      <c r="I305" s="238" t="s">
        <v>1</v>
      </c>
      <c r="J305" s="518">
        <v>365000</v>
      </c>
      <c r="K305" s="238">
        <f>J305-H305</f>
        <v>365000</v>
      </c>
      <c r="L305" s="241"/>
      <c r="M305" s="241"/>
      <c r="N305" s="240"/>
      <c r="O305" s="210">
        <v>401500</v>
      </c>
      <c r="P305" s="210">
        <v>441650</v>
      </c>
      <c r="Q305" s="210">
        <v>485815</v>
      </c>
    </row>
    <row r="306" spans="1:17">
      <c r="A306" s="128">
        <v>51000</v>
      </c>
      <c r="B306" s="130" t="s">
        <v>196</v>
      </c>
      <c r="C306" s="129">
        <v>12</v>
      </c>
      <c r="D306" s="129">
        <v>16</v>
      </c>
      <c r="E306" s="129">
        <v>19</v>
      </c>
      <c r="F306" s="483" t="s">
        <v>233</v>
      </c>
      <c r="G306" s="238"/>
      <c r="H306" s="238">
        <v>0</v>
      </c>
      <c r="I306" s="238" t="s">
        <v>1</v>
      </c>
      <c r="J306" s="518">
        <v>2101000</v>
      </c>
      <c r="K306" s="238">
        <f>J306-H306</f>
        <v>2101000</v>
      </c>
      <c r="L306" s="241"/>
      <c r="M306" s="241"/>
      <c r="N306" s="240"/>
      <c r="O306" s="210">
        <v>2310000</v>
      </c>
      <c r="P306" s="210">
        <v>2541000</v>
      </c>
      <c r="Q306" s="210">
        <v>2795000</v>
      </c>
    </row>
    <row r="307" spans="1:17" ht="13.5" thickBot="1">
      <c r="A307" s="128">
        <v>51000</v>
      </c>
      <c r="B307" s="141" t="s">
        <v>196</v>
      </c>
      <c r="C307" s="129">
        <v>12</v>
      </c>
      <c r="D307" s="129">
        <v>99</v>
      </c>
      <c r="E307" s="129">
        <v>99</v>
      </c>
      <c r="F307" s="496" t="s">
        <v>191</v>
      </c>
      <c r="G307" s="238"/>
      <c r="H307" s="238"/>
      <c r="I307" s="238">
        <v>445440</v>
      </c>
      <c r="J307" s="518"/>
      <c r="K307" s="238">
        <f>J307-H307</f>
        <v>0</v>
      </c>
      <c r="L307" s="241"/>
      <c r="M307" s="241"/>
      <c r="N307" s="240"/>
      <c r="O307" s="210"/>
      <c r="P307" s="210"/>
      <c r="Q307" s="210"/>
    </row>
    <row r="308" spans="1:17" ht="26.25" thickBot="1">
      <c r="F308" s="501" t="s">
        <v>539</v>
      </c>
      <c r="G308" s="245">
        <v>0</v>
      </c>
      <c r="H308" s="245">
        <v>0</v>
      </c>
      <c r="I308" s="245">
        <f>SUM(I305:I307)</f>
        <v>445440</v>
      </c>
      <c r="J308" s="541">
        <f>SUM(J305:J307)</f>
        <v>2466000</v>
      </c>
      <c r="K308" s="245">
        <f>SUM(K305:K307)</f>
        <v>2466000</v>
      </c>
      <c r="L308" s="474">
        <f t="shared" ref="L308:Q308" si="47">SUM(L305:L307)</f>
        <v>0</v>
      </c>
      <c r="M308" s="245">
        <f t="shared" si="47"/>
        <v>0</v>
      </c>
      <c r="N308" s="265">
        <f t="shared" si="47"/>
        <v>0</v>
      </c>
      <c r="O308" s="245">
        <f t="shared" si="47"/>
        <v>2711500</v>
      </c>
      <c r="P308" s="245">
        <f t="shared" si="47"/>
        <v>2982650</v>
      </c>
      <c r="Q308" s="245">
        <f t="shared" si="47"/>
        <v>3280815</v>
      </c>
    </row>
    <row r="309" spans="1:17" ht="25.5">
      <c r="B309" s="130"/>
      <c r="F309" s="500" t="s">
        <v>594</v>
      </c>
      <c r="G309" s="246"/>
      <c r="H309" s="238"/>
      <c r="I309" s="238" t="s">
        <v>1</v>
      </c>
      <c r="J309" s="518"/>
      <c r="K309" s="238"/>
      <c r="L309" s="241"/>
      <c r="M309" s="241"/>
      <c r="N309" s="240"/>
      <c r="O309" s="210"/>
      <c r="P309" s="210"/>
      <c r="Q309" s="210"/>
    </row>
    <row r="310" spans="1:17">
      <c r="A310" s="128">
        <v>53000</v>
      </c>
      <c r="B310" s="130" t="s">
        <v>196</v>
      </c>
      <c r="C310" s="129">
        <v>12</v>
      </c>
      <c r="D310" s="129">
        <v>99</v>
      </c>
      <c r="E310" s="129">
        <v>99</v>
      </c>
      <c r="F310" s="496" t="s">
        <v>191</v>
      </c>
      <c r="G310" s="238"/>
      <c r="H310" s="238"/>
      <c r="I310" s="238">
        <v>13830</v>
      </c>
      <c r="J310" s="518">
        <v>60000</v>
      </c>
      <c r="K310" s="238">
        <f>J310-H310</f>
        <v>60000</v>
      </c>
      <c r="L310" s="241"/>
      <c r="M310" s="241"/>
      <c r="N310" s="240"/>
      <c r="O310" s="210">
        <v>80000</v>
      </c>
      <c r="P310" s="210">
        <v>90000</v>
      </c>
      <c r="Q310" s="210">
        <v>100000</v>
      </c>
    </row>
    <row r="311" spans="1:17" ht="13.5" thickBot="1">
      <c r="A311" s="128">
        <v>53000</v>
      </c>
      <c r="B311" s="141" t="s">
        <v>196</v>
      </c>
      <c r="C311" s="129">
        <v>12</v>
      </c>
      <c r="D311" s="129">
        <v>15</v>
      </c>
      <c r="E311" s="129">
        <v>53</v>
      </c>
      <c r="F311" s="496" t="s">
        <v>596</v>
      </c>
      <c r="G311" s="238"/>
      <c r="H311" s="238">
        <v>60000</v>
      </c>
      <c r="I311" s="238">
        <v>121000</v>
      </c>
      <c r="J311" s="518">
        <v>50000</v>
      </c>
      <c r="K311" s="238">
        <f>J311-H311</f>
        <v>-10000</v>
      </c>
      <c r="L311" s="241"/>
      <c r="M311" s="241"/>
      <c r="N311" s="240"/>
      <c r="O311" s="210">
        <v>60000</v>
      </c>
      <c r="P311" s="210">
        <v>70000</v>
      </c>
      <c r="Q311" s="210">
        <v>80000</v>
      </c>
    </row>
    <row r="312" spans="1:17" ht="26.25" thickBot="1">
      <c r="F312" s="501" t="s">
        <v>595</v>
      </c>
      <c r="G312" s="245">
        <v>0</v>
      </c>
      <c r="H312" s="245">
        <v>60000</v>
      </c>
      <c r="I312" s="245">
        <f t="shared" ref="I312:Q312" si="48">SUM(I310:I311)</f>
        <v>134830</v>
      </c>
      <c r="J312" s="541">
        <f t="shared" si="48"/>
        <v>110000</v>
      </c>
      <c r="K312" s="245">
        <f t="shared" si="48"/>
        <v>50000</v>
      </c>
      <c r="L312" s="474">
        <f t="shared" si="48"/>
        <v>0</v>
      </c>
      <c r="M312" s="245">
        <f t="shared" si="48"/>
        <v>0</v>
      </c>
      <c r="N312" s="265">
        <f t="shared" si="48"/>
        <v>0</v>
      </c>
      <c r="O312" s="245">
        <f t="shared" si="48"/>
        <v>140000</v>
      </c>
      <c r="P312" s="245">
        <f t="shared" si="48"/>
        <v>160000</v>
      </c>
      <c r="Q312" s="245">
        <f t="shared" si="48"/>
        <v>180000</v>
      </c>
    </row>
    <row r="313" spans="1:17">
      <c r="F313" s="496"/>
      <c r="G313" s="246"/>
      <c r="H313" s="238"/>
      <c r="I313" s="238" t="s">
        <v>1</v>
      </c>
      <c r="J313" s="518"/>
      <c r="K313" s="238"/>
      <c r="L313" s="241"/>
      <c r="M313" s="241"/>
      <c r="N313" s="240"/>
      <c r="O313" s="210"/>
      <c r="P313" s="210"/>
      <c r="Q313" s="210"/>
    </row>
    <row r="314" spans="1:17" ht="25.5">
      <c r="F314" s="500" t="s">
        <v>326</v>
      </c>
      <c r="G314" s="246"/>
      <c r="H314" s="238"/>
      <c r="I314" s="238" t="s">
        <v>1</v>
      </c>
      <c r="J314" s="518"/>
      <c r="K314" s="238"/>
      <c r="L314" s="241">
        <f>SUM(J314:J314)</f>
        <v>0</v>
      </c>
      <c r="M314" s="241" t="e">
        <f>#REF!-#REF!</f>
        <v>#REF!</v>
      </c>
      <c r="N314" s="240"/>
      <c r="O314" s="210"/>
      <c r="P314" s="210"/>
      <c r="Q314" s="210"/>
    </row>
    <row r="315" spans="1:17" ht="26.25" thickBot="1">
      <c r="A315" s="128">
        <v>53000</v>
      </c>
      <c r="B315" s="130">
        <v>290</v>
      </c>
      <c r="C315" s="129">
        <v>12</v>
      </c>
      <c r="D315" s="129">
        <v>17</v>
      </c>
      <c r="E315" s="130" t="s">
        <v>203</v>
      </c>
      <c r="F315" s="496" t="s">
        <v>107</v>
      </c>
      <c r="G315" s="238"/>
      <c r="H315" s="238"/>
      <c r="I315" s="238" t="s">
        <v>1</v>
      </c>
      <c r="J315" s="518"/>
      <c r="K315" s="238"/>
      <c r="L315" s="241">
        <f>SUM(J315:J315)</f>
        <v>0</v>
      </c>
      <c r="M315" s="241" t="e">
        <f>#REF!-#REF!</f>
        <v>#REF!</v>
      </c>
      <c r="N315" s="240"/>
      <c r="O315" s="210"/>
      <c r="P315" s="210"/>
      <c r="Q315" s="210"/>
    </row>
    <row r="316" spans="1:17" ht="39" thickBot="1">
      <c r="F316" s="501" t="s">
        <v>291</v>
      </c>
      <c r="G316" s="245">
        <v>0</v>
      </c>
      <c r="H316" s="245">
        <v>0</v>
      </c>
      <c r="I316" s="245">
        <f>SUM(I315)</f>
        <v>0</v>
      </c>
      <c r="J316" s="541">
        <f>SUM(J315)</f>
        <v>0</v>
      </c>
      <c r="K316" s="245">
        <f t="shared" ref="K316:Q316" si="49">SUM(K315)</f>
        <v>0</v>
      </c>
      <c r="L316" s="474">
        <f t="shared" si="49"/>
        <v>0</v>
      </c>
      <c r="M316" s="245" t="e">
        <f t="shared" si="49"/>
        <v>#REF!</v>
      </c>
      <c r="N316" s="265">
        <f t="shared" si="49"/>
        <v>0</v>
      </c>
      <c r="O316" s="245">
        <f t="shared" si="49"/>
        <v>0</v>
      </c>
      <c r="P316" s="245">
        <f t="shared" si="49"/>
        <v>0</v>
      </c>
      <c r="Q316" s="245">
        <f t="shared" si="49"/>
        <v>0</v>
      </c>
    </row>
    <row r="317" spans="1:17">
      <c r="F317" s="496"/>
      <c r="G317" s="246"/>
      <c r="H317" s="238"/>
      <c r="I317" s="238" t="s">
        <v>1</v>
      </c>
      <c r="J317" s="518"/>
      <c r="K317" s="238"/>
      <c r="L317" s="241"/>
      <c r="M317" s="241"/>
      <c r="N317" s="240"/>
      <c r="O317" s="210"/>
      <c r="P317" s="210"/>
      <c r="Q317" s="210"/>
    </row>
    <row r="318" spans="1:17" ht="25.5">
      <c r="F318" s="500" t="s">
        <v>328</v>
      </c>
      <c r="G318" s="246"/>
      <c r="H318" s="238"/>
      <c r="I318" s="238" t="s">
        <v>1</v>
      </c>
      <c r="J318" s="518"/>
      <c r="K318" s="238"/>
      <c r="L318" s="241"/>
      <c r="M318" s="241"/>
      <c r="N318" s="240"/>
      <c r="O318" s="210"/>
      <c r="P318" s="210"/>
      <c r="Q318" s="210"/>
    </row>
    <row r="319" spans="1:17">
      <c r="A319" s="128">
        <v>50000</v>
      </c>
      <c r="B319" s="130" t="s">
        <v>196</v>
      </c>
      <c r="C319" s="129">
        <v>12</v>
      </c>
      <c r="D319" s="129">
        <v>15</v>
      </c>
      <c r="E319" s="130">
        <v>50</v>
      </c>
      <c r="F319" s="496" t="s">
        <v>329</v>
      </c>
      <c r="G319" s="238">
        <v>1368414</v>
      </c>
      <c r="H319" s="238">
        <v>1233310</v>
      </c>
      <c r="I319" s="238" t="s">
        <v>1</v>
      </c>
      <c r="J319" s="518">
        <v>1839000</v>
      </c>
      <c r="K319" s="238">
        <f>J319-H319</f>
        <v>605690</v>
      </c>
      <c r="L319" s="241"/>
      <c r="M319" s="241"/>
      <c r="N319" s="240"/>
      <c r="O319" s="210">
        <v>1931000</v>
      </c>
      <c r="P319" s="210">
        <v>2028000</v>
      </c>
      <c r="Q319" s="210">
        <v>2129000</v>
      </c>
    </row>
    <row r="320" spans="1:17" ht="25.5">
      <c r="A320" s="128">
        <v>50000</v>
      </c>
      <c r="B320" s="130" t="s">
        <v>196</v>
      </c>
      <c r="C320" s="129">
        <v>12</v>
      </c>
      <c r="D320" s="129">
        <v>15</v>
      </c>
      <c r="E320" s="130" t="s">
        <v>208</v>
      </c>
      <c r="F320" s="496" t="s">
        <v>330</v>
      </c>
      <c r="G320" s="238">
        <v>2274000</v>
      </c>
      <c r="H320" s="238">
        <v>3849000</v>
      </c>
      <c r="I320" s="238" t="s">
        <v>1</v>
      </c>
      <c r="J320" s="518">
        <v>4378500</v>
      </c>
      <c r="K320" s="238">
        <f>J320-H320</f>
        <v>529500</v>
      </c>
      <c r="L320" s="241"/>
      <c r="M320" s="241"/>
      <c r="N320" s="240"/>
      <c r="O320" s="210">
        <v>1156000</v>
      </c>
      <c r="P320" s="210">
        <v>1858000</v>
      </c>
      <c r="Q320" s="210">
        <v>1858000</v>
      </c>
    </row>
    <row r="321" spans="1:20" s="374" customFormat="1">
      <c r="A321" s="375"/>
      <c r="B321" s="367"/>
      <c r="C321" s="229"/>
      <c r="D321" s="229"/>
      <c r="E321" s="367"/>
      <c r="F321" s="503" t="s">
        <v>191</v>
      </c>
      <c r="G321" s="369"/>
      <c r="H321" s="369"/>
      <c r="I321" s="369"/>
      <c r="J321" s="540"/>
      <c r="K321" s="369"/>
      <c r="L321" s="371"/>
      <c r="M321" s="371"/>
      <c r="N321" s="372"/>
      <c r="O321" s="373"/>
      <c r="P321" s="373"/>
      <c r="Q321" s="373"/>
    </row>
    <row r="322" spans="1:20" ht="26.25" thickBot="1">
      <c r="E322" s="130"/>
      <c r="F322" s="504" t="s">
        <v>334</v>
      </c>
      <c r="G322" s="377">
        <v>3642414</v>
      </c>
      <c r="H322" s="377">
        <v>5082310</v>
      </c>
      <c r="I322" s="377">
        <f>SUM(I319:I320)</f>
        <v>0</v>
      </c>
      <c r="J322" s="556">
        <f>SUM(J319:J321)</f>
        <v>6217500</v>
      </c>
      <c r="K322" s="377">
        <f>SUM(K319:N321)</f>
        <v>1135190</v>
      </c>
      <c r="L322" s="481">
        <f>SUM(L319:L320)</f>
        <v>0</v>
      </c>
      <c r="M322" s="377">
        <f>SUM(M319:M320)</f>
        <v>0</v>
      </c>
      <c r="N322" s="378">
        <f>SUM(N319:N320)</f>
        <v>0</v>
      </c>
      <c r="O322" s="377">
        <f>SUM(O319:O321)</f>
        <v>3087000</v>
      </c>
      <c r="P322" s="377">
        <f>SUM(P319:P321)</f>
        <v>3886000</v>
      </c>
      <c r="Q322" s="377">
        <f>SUM(Q319:Q321)</f>
        <v>3987000</v>
      </c>
    </row>
    <row r="323" spans="1:20">
      <c r="F323" s="496"/>
      <c r="G323" s="246"/>
      <c r="H323" s="238"/>
      <c r="I323" s="238" t="s">
        <v>1</v>
      </c>
      <c r="J323" s="518"/>
      <c r="K323" s="238"/>
      <c r="L323" s="241"/>
      <c r="M323" s="241"/>
      <c r="N323" s="240"/>
      <c r="O323" s="210"/>
      <c r="P323" s="210"/>
      <c r="Q323" s="210"/>
    </row>
    <row r="324" spans="1:20" s="374" customFormat="1" ht="25.5">
      <c r="A324" s="375"/>
      <c r="B324" s="229"/>
      <c r="C324" s="229"/>
      <c r="D324" s="229"/>
      <c r="E324" s="229"/>
      <c r="F324" s="505" t="s">
        <v>335</v>
      </c>
      <c r="G324" s="376"/>
      <c r="H324" s="369"/>
      <c r="I324" s="369" t="s">
        <v>1</v>
      </c>
      <c r="J324" s="540"/>
      <c r="K324" s="369"/>
      <c r="L324" s="371"/>
      <c r="M324" s="371"/>
      <c r="N324" s="372"/>
      <c r="O324" s="373"/>
      <c r="P324" s="373"/>
      <c r="Q324" s="373"/>
    </row>
    <row r="325" spans="1:20">
      <c r="A325" s="128">
        <v>53000</v>
      </c>
      <c r="B325" s="130" t="s">
        <v>196</v>
      </c>
      <c r="C325" s="129">
        <v>12</v>
      </c>
      <c r="D325" s="130" t="s">
        <v>200</v>
      </c>
      <c r="E325" s="129">
        <v>35</v>
      </c>
      <c r="F325" s="496" t="s">
        <v>523</v>
      </c>
      <c r="G325" s="238">
        <v>3000000</v>
      </c>
      <c r="H325" s="238">
        <v>3300000</v>
      </c>
      <c r="I325" s="238">
        <v>729000</v>
      </c>
      <c r="J325" s="518">
        <v>3801000</v>
      </c>
      <c r="K325" s="238">
        <f>J325-H325</f>
        <v>501000</v>
      </c>
      <c r="L325" s="241"/>
      <c r="M325" s="241"/>
      <c r="N325" s="240"/>
      <c r="O325" s="210">
        <v>3951000</v>
      </c>
      <c r="P325" s="210">
        <v>4011000</v>
      </c>
      <c r="Q325" s="210">
        <v>4206000</v>
      </c>
    </row>
    <row r="326" spans="1:20">
      <c r="A326" s="128">
        <v>53000</v>
      </c>
      <c r="B326" s="130" t="s">
        <v>196</v>
      </c>
      <c r="C326" s="129">
        <v>12</v>
      </c>
      <c r="D326" s="130" t="s">
        <v>200</v>
      </c>
      <c r="E326" s="129">
        <v>36</v>
      </c>
      <c r="F326" s="496" t="s">
        <v>331</v>
      </c>
      <c r="G326" s="238">
        <v>100000</v>
      </c>
      <c r="H326" s="238">
        <v>100000</v>
      </c>
      <c r="I326" s="238"/>
      <c r="J326" s="518">
        <v>40000</v>
      </c>
      <c r="K326" s="238">
        <f>J326-H326</f>
        <v>-60000</v>
      </c>
      <c r="L326" s="241"/>
      <c r="M326" s="241"/>
      <c r="N326" s="240"/>
      <c r="O326" s="210">
        <v>80000</v>
      </c>
      <c r="P326" s="210">
        <v>120000</v>
      </c>
      <c r="Q326" s="210">
        <v>160000</v>
      </c>
    </row>
    <row r="327" spans="1:20">
      <c r="A327" s="128">
        <v>53000</v>
      </c>
      <c r="B327" s="130" t="s">
        <v>196</v>
      </c>
      <c r="C327" s="129">
        <v>12</v>
      </c>
      <c r="D327" s="130" t="s">
        <v>200</v>
      </c>
      <c r="E327" s="129">
        <v>37</v>
      </c>
      <c r="F327" s="496" t="s">
        <v>332</v>
      </c>
      <c r="G327" s="238">
        <v>150000</v>
      </c>
      <c r="H327" s="238">
        <v>150000</v>
      </c>
      <c r="I327" s="238"/>
      <c r="J327" s="518">
        <v>60000</v>
      </c>
      <c r="K327" s="238">
        <f>J327-H327</f>
        <v>-90000</v>
      </c>
      <c r="L327" s="241"/>
      <c r="M327" s="241"/>
      <c r="N327" s="240"/>
      <c r="O327" s="210">
        <v>120000</v>
      </c>
      <c r="P327" s="210">
        <v>180000</v>
      </c>
      <c r="Q327" s="210">
        <v>180000</v>
      </c>
    </row>
    <row r="328" spans="1:20">
      <c r="A328" s="128">
        <v>53000</v>
      </c>
      <c r="B328" s="130" t="s">
        <v>196</v>
      </c>
      <c r="C328" s="129">
        <v>12</v>
      </c>
      <c r="D328" s="130" t="s">
        <v>200</v>
      </c>
      <c r="E328" s="129">
        <v>38</v>
      </c>
      <c r="F328" s="496" t="s">
        <v>333</v>
      </c>
      <c r="G328" s="238">
        <v>2000</v>
      </c>
      <c r="H328" s="238">
        <v>30000</v>
      </c>
      <c r="I328" s="238">
        <v>40000</v>
      </c>
      <c r="J328" s="518">
        <v>19000</v>
      </c>
      <c r="K328" s="238">
        <f>J328-H328</f>
        <v>-11000</v>
      </c>
      <c r="L328" s="241"/>
      <c r="M328" s="241"/>
      <c r="N328" s="240"/>
      <c r="O328" s="210">
        <v>18000</v>
      </c>
      <c r="P328" s="210">
        <v>20000</v>
      </c>
      <c r="Q328" s="210">
        <v>21000</v>
      </c>
    </row>
    <row r="329" spans="1:20" ht="13.5" thickBot="1">
      <c r="A329" s="128">
        <v>53000</v>
      </c>
      <c r="B329" s="130" t="s">
        <v>196</v>
      </c>
      <c r="C329" s="129">
        <v>12</v>
      </c>
      <c r="D329" s="130">
        <v>30</v>
      </c>
      <c r="E329" s="129">
        <v>99</v>
      </c>
      <c r="F329" s="483" t="s">
        <v>36</v>
      </c>
      <c r="G329" s="238">
        <v>20000</v>
      </c>
      <c r="H329" s="238">
        <v>20000</v>
      </c>
      <c r="I329" s="238">
        <v>13900</v>
      </c>
      <c r="J329" s="518">
        <v>25000</v>
      </c>
      <c r="K329" s="238">
        <f>J329-H329</f>
        <v>5000</v>
      </c>
      <c r="L329" s="241"/>
      <c r="M329" s="241"/>
      <c r="N329" s="240"/>
      <c r="O329" s="210">
        <v>26000</v>
      </c>
      <c r="P329" s="210">
        <v>28000</v>
      </c>
      <c r="Q329" s="210">
        <v>30000</v>
      </c>
    </row>
    <row r="330" spans="1:20" ht="26.25" thickBot="1">
      <c r="F330" s="501" t="s">
        <v>336</v>
      </c>
      <c r="G330" s="245">
        <v>3272000</v>
      </c>
      <c r="H330" s="245">
        <v>3600000</v>
      </c>
      <c r="I330" s="245">
        <f>SUM(I325:I329)</f>
        <v>782900</v>
      </c>
      <c r="J330" s="541">
        <f>SUM(J325:J329)</f>
        <v>3945000</v>
      </c>
      <c r="K330" s="245">
        <f t="shared" ref="K330:Q330" si="50">SUM(K325:K329)</f>
        <v>345000</v>
      </c>
      <c r="L330" s="474">
        <f t="shared" si="50"/>
        <v>0</v>
      </c>
      <c r="M330" s="245">
        <f t="shared" si="50"/>
        <v>0</v>
      </c>
      <c r="N330" s="265">
        <f t="shared" si="50"/>
        <v>0</v>
      </c>
      <c r="O330" s="245">
        <f t="shared" si="50"/>
        <v>4195000</v>
      </c>
      <c r="P330" s="245">
        <f t="shared" si="50"/>
        <v>4359000</v>
      </c>
      <c r="Q330" s="245">
        <f t="shared" si="50"/>
        <v>4597000</v>
      </c>
    </row>
    <row r="331" spans="1:20">
      <c r="F331" s="483"/>
      <c r="G331" s="246"/>
      <c r="H331" s="238"/>
      <c r="I331" s="238" t="s">
        <v>1</v>
      </c>
      <c r="J331" s="518"/>
      <c r="K331" s="238"/>
      <c r="L331" s="241"/>
      <c r="M331" s="241"/>
      <c r="N331" s="240"/>
      <c r="O331" s="210"/>
      <c r="P331" s="210"/>
      <c r="Q331" s="210"/>
    </row>
    <row r="332" spans="1:20">
      <c r="F332" s="500" t="s">
        <v>101</v>
      </c>
      <c r="G332" s="246"/>
      <c r="H332" s="238"/>
      <c r="I332" s="238" t="s">
        <v>1</v>
      </c>
      <c r="J332" s="518"/>
      <c r="K332" s="238"/>
      <c r="L332" s="241"/>
      <c r="M332" s="241"/>
      <c r="N332" s="240"/>
      <c r="O332" s="210"/>
      <c r="P332" s="210"/>
      <c r="Q332" s="210"/>
    </row>
    <row r="333" spans="1:20">
      <c r="A333" s="128">
        <v>53000</v>
      </c>
      <c r="B333" s="129">
        <v>794</v>
      </c>
      <c r="C333" s="129">
        <v>12</v>
      </c>
      <c r="D333" s="129">
        <v>16</v>
      </c>
      <c r="E333" s="129">
        <v>15</v>
      </c>
      <c r="F333" s="483" t="s">
        <v>102</v>
      </c>
      <c r="G333" s="238">
        <v>7122951</v>
      </c>
      <c r="H333" s="238">
        <v>6474078</v>
      </c>
      <c r="I333" s="238">
        <v>910075</v>
      </c>
      <c r="J333" s="518">
        <v>323848704</v>
      </c>
      <c r="K333" s="238">
        <f t="shared" ref="K333:K339" si="51">J333-H333</f>
        <v>317374626</v>
      </c>
      <c r="L333" s="241"/>
      <c r="M333" s="241"/>
      <c r="N333" s="240"/>
      <c r="O333" s="210">
        <v>330288060</v>
      </c>
      <c r="P333" s="210">
        <v>340140275</v>
      </c>
      <c r="Q333" s="210">
        <v>351979353</v>
      </c>
    </row>
    <row r="334" spans="1:20">
      <c r="A334" s="128">
        <v>53000</v>
      </c>
      <c r="B334" s="129">
        <v>794</v>
      </c>
      <c r="C334" s="129">
        <v>12</v>
      </c>
      <c r="D334" s="130" t="s">
        <v>200</v>
      </c>
      <c r="E334" s="129">
        <v>26</v>
      </c>
      <c r="F334" s="483" t="s">
        <v>522</v>
      </c>
      <c r="G334" s="238"/>
      <c r="H334" s="238"/>
      <c r="I334" s="238" t="s">
        <v>1</v>
      </c>
      <c r="J334" s="518">
        <v>6185000</v>
      </c>
      <c r="K334" s="238">
        <f t="shared" si="51"/>
        <v>6185000</v>
      </c>
      <c r="L334" s="241">
        <f>SUM(J334:J334)</f>
        <v>6185000</v>
      </c>
      <c r="M334" s="241" t="e">
        <f>#REF!-#REF!</f>
        <v>#REF!</v>
      </c>
      <c r="N334" s="240"/>
      <c r="O334" s="210">
        <v>6491250</v>
      </c>
      <c r="P334" s="210">
        <v>6734066</v>
      </c>
      <c r="Q334" s="210">
        <v>6989020</v>
      </c>
      <c r="T334" s="5"/>
    </row>
    <row r="335" spans="1:20">
      <c r="A335" s="128">
        <v>53000</v>
      </c>
      <c r="B335" s="129">
        <v>794</v>
      </c>
      <c r="C335" s="129">
        <v>12</v>
      </c>
      <c r="D335" s="130">
        <v>16</v>
      </c>
      <c r="E335" s="129">
        <v>22</v>
      </c>
      <c r="F335" s="483" t="s">
        <v>103</v>
      </c>
      <c r="G335" s="238">
        <v>4534758</v>
      </c>
      <c r="H335" s="238">
        <v>4528366</v>
      </c>
      <c r="I335" s="238">
        <v>35100</v>
      </c>
      <c r="J335" s="518">
        <v>2266210</v>
      </c>
      <c r="K335" s="238">
        <f t="shared" si="51"/>
        <v>-2262156</v>
      </c>
      <c r="L335" s="241"/>
      <c r="M335" s="241"/>
      <c r="N335" s="240"/>
      <c r="O335" s="210">
        <v>2282123</v>
      </c>
      <c r="P335" s="210">
        <v>2282123</v>
      </c>
      <c r="Q335" s="210">
        <v>2266210</v>
      </c>
    </row>
    <row r="336" spans="1:20">
      <c r="A336" s="128">
        <v>53000</v>
      </c>
      <c r="B336" s="129">
        <v>794</v>
      </c>
      <c r="C336" s="129">
        <v>12</v>
      </c>
      <c r="D336" s="130" t="s">
        <v>200</v>
      </c>
      <c r="E336" s="129">
        <v>26</v>
      </c>
      <c r="F336" s="483" t="s">
        <v>104</v>
      </c>
      <c r="G336" s="238">
        <v>61158500</v>
      </c>
      <c r="H336" s="238">
        <v>48400160</v>
      </c>
      <c r="I336" s="238" t="s">
        <v>1</v>
      </c>
      <c r="J336" s="518">
        <v>66240000</v>
      </c>
      <c r="K336" s="238">
        <f t="shared" si="51"/>
        <v>17839840</v>
      </c>
      <c r="L336" s="241">
        <f>SUM(J336:J336)</f>
        <v>66240000</v>
      </c>
      <c r="M336" s="241" t="e">
        <f>#REF!-#REF!</f>
        <v>#REF!</v>
      </c>
      <c r="N336" s="240"/>
      <c r="O336" s="210">
        <v>66861000</v>
      </c>
      <c r="P336" s="210">
        <v>68115420</v>
      </c>
      <c r="Q336" s="210">
        <v>69714806</v>
      </c>
    </row>
    <row r="337" spans="1:17">
      <c r="A337" s="128">
        <v>53000</v>
      </c>
      <c r="B337" s="129">
        <v>794</v>
      </c>
      <c r="C337" s="129">
        <v>12</v>
      </c>
      <c r="D337" s="129">
        <v>16</v>
      </c>
      <c r="E337" s="129">
        <v>23</v>
      </c>
      <c r="F337" s="483" t="s">
        <v>105</v>
      </c>
      <c r="G337" s="238">
        <v>4519500</v>
      </c>
      <c r="H337" s="238">
        <v>4067550</v>
      </c>
      <c r="I337" s="238">
        <v>10000</v>
      </c>
      <c r="J337" s="518">
        <v>2898000</v>
      </c>
      <c r="K337" s="238">
        <f t="shared" si="51"/>
        <v>-1169550</v>
      </c>
      <c r="L337" s="241"/>
      <c r="M337" s="241"/>
      <c r="N337" s="240"/>
      <c r="O337" s="210">
        <v>2898000</v>
      </c>
      <c r="P337" s="210">
        <v>2898000</v>
      </c>
      <c r="Q337" s="210">
        <v>2898000</v>
      </c>
    </row>
    <row r="338" spans="1:17">
      <c r="A338" s="128">
        <v>53000</v>
      </c>
      <c r="B338" s="129">
        <v>794</v>
      </c>
      <c r="C338" s="129">
        <v>12</v>
      </c>
      <c r="D338" s="129">
        <v>16</v>
      </c>
      <c r="E338" s="129">
        <v>14</v>
      </c>
      <c r="F338" s="483" t="s">
        <v>106</v>
      </c>
      <c r="G338" s="358">
        <v>1922000</v>
      </c>
      <c r="H338" s="358">
        <v>2775350</v>
      </c>
      <c r="I338" s="238">
        <v>87000</v>
      </c>
      <c r="J338" s="518">
        <v>910800</v>
      </c>
      <c r="K338" s="238">
        <f t="shared" si="51"/>
        <v>-1864550</v>
      </c>
      <c r="L338" s="241">
        <f>SUM(L334:L337)</f>
        <v>72425000</v>
      </c>
      <c r="M338" s="242" t="e">
        <f>SUM(M333:M336)</f>
        <v>#REF!</v>
      </c>
      <c r="N338" s="240"/>
      <c r="O338" s="210">
        <v>910800</v>
      </c>
      <c r="P338" s="210">
        <v>910800</v>
      </c>
      <c r="Q338" s="210">
        <v>910800</v>
      </c>
    </row>
    <row r="339" spans="1:17" ht="13.5" thickBot="1">
      <c r="A339" s="128">
        <v>53000</v>
      </c>
      <c r="B339" s="129">
        <v>794</v>
      </c>
      <c r="C339" s="129">
        <v>12</v>
      </c>
      <c r="D339" s="129">
        <v>99</v>
      </c>
      <c r="E339" s="129">
        <v>99</v>
      </c>
      <c r="F339" s="483" t="s">
        <v>36</v>
      </c>
      <c r="G339" s="238">
        <v>62995488</v>
      </c>
      <c r="H339" s="238">
        <v>55612597</v>
      </c>
      <c r="I339" s="238">
        <v>2518248</v>
      </c>
      <c r="J339" s="518">
        <v>40705020</v>
      </c>
      <c r="K339" s="238">
        <f t="shared" si="51"/>
        <v>-14907577</v>
      </c>
      <c r="L339" s="241"/>
      <c r="M339" s="241"/>
      <c r="N339" s="240"/>
      <c r="O339" s="210">
        <v>41112070</v>
      </c>
      <c r="P339" s="210">
        <v>41934312</v>
      </c>
      <c r="Q339" s="210">
        <v>42982669</v>
      </c>
    </row>
    <row r="340" spans="1:17" ht="13.5" thickBot="1">
      <c r="F340" s="501" t="s">
        <v>292</v>
      </c>
      <c r="G340" s="245">
        <v>142253197</v>
      </c>
      <c r="H340" s="245">
        <v>121858101</v>
      </c>
      <c r="I340" s="245">
        <f>SUM(I333:I339)</f>
        <v>3560423</v>
      </c>
      <c r="J340" s="541">
        <f>SUM(J333:J339)</f>
        <v>443053734</v>
      </c>
      <c r="K340" s="245">
        <f t="shared" ref="K340:Q340" si="52">SUM(K333:K339)</f>
        <v>321195633</v>
      </c>
      <c r="L340" s="474">
        <f t="shared" si="52"/>
        <v>144850000</v>
      </c>
      <c r="M340" s="245" t="e">
        <f t="shared" si="52"/>
        <v>#REF!</v>
      </c>
      <c r="N340" s="265">
        <f t="shared" si="52"/>
        <v>0</v>
      </c>
      <c r="O340" s="245">
        <f t="shared" si="52"/>
        <v>450843303</v>
      </c>
      <c r="P340" s="245">
        <f t="shared" si="52"/>
        <v>463014996</v>
      </c>
      <c r="Q340" s="245">
        <f t="shared" si="52"/>
        <v>477740858</v>
      </c>
    </row>
    <row r="341" spans="1:17">
      <c r="F341" s="496"/>
      <c r="G341" s="246"/>
      <c r="H341" s="238"/>
      <c r="I341" s="238" t="s">
        <v>1</v>
      </c>
      <c r="J341" s="518"/>
      <c r="K341" s="238"/>
      <c r="L341" s="241"/>
      <c r="M341" s="241"/>
      <c r="N341" s="240"/>
      <c r="O341" s="210"/>
      <c r="P341" s="210"/>
      <c r="Q341" s="210"/>
    </row>
    <row r="342" spans="1:17" ht="25.5">
      <c r="F342" s="500" t="s">
        <v>286</v>
      </c>
      <c r="G342" s="246"/>
      <c r="H342" s="238"/>
      <c r="I342" s="238" t="s">
        <v>1</v>
      </c>
      <c r="J342" s="518"/>
      <c r="K342" s="238"/>
      <c r="L342" s="241"/>
      <c r="M342" s="241"/>
      <c r="N342" s="240"/>
      <c r="O342" s="210"/>
      <c r="P342" s="210"/>
      <c r="Q342" s="210"/>
    </row>
    <row r="343" spans="1:17">
      <c r="A343" s="128">
        <v>53000</v>
      </c>
      <c r="B343" s="129">
        <v>155</v>
      </c>
      <c r="C343" s="129">
        <v>12</v>
      </c>
      <c r="D343" s="129">
        <v>17</v>
      </c>
      <c r="E343" s="136">
        <v>17</v>
      </c>
      <c r="F343" s="483" t="s">
        <v>108</v>
      </c>
      <c r="G343" s="238">
        <v>30000</v>
      </c>
      <c r="H343" s="238">
        <v>30000</v>
      </c>
      <c r="I343" s="238"/>
      <c r="J343" s="518">
        <v>12000</v>
      </c>
      <c r="K343" s="238">
        <f t="shared" ref="K343:K350" si="53">J343-H343</f>
        <v>-18000</v>
      </c>
      <c r="L343" s="241">
        <f>SUM(J343:J343)</f>
        <v>12000</v>
      </c>
      <c r="M343" s="241" t="e">
        <f>#REF!-#REF!</f>
        <v>#REF!</v>
      </c>
      <c r="N343" s="240"/>
      <c r="O343" s="210">
        <v>20000</v>
      </c>
      <c r="P343" s="210">
        <v>20000</v>
      </c>
      <c r="Q343" s="210">
        <v>20000</v>
      </c>
    </row>
    <row r="344" spans="1:17" ht="25.5">
      <c r="A344" s="128">
        <v>53000</v>
      </c>
      <c r="B344" s="129">
        <v>155</v>
      </c>
      <c r="C344" s="129">
        <v>12</v>
      </c>
      <c r="D344" s="130" t="s">
        <v>200</v>
      </c>
      <c r="E344" s="130" t="s">
        <v>207</v>
      </c>
      <c r="F344" s="496" t="s">
        <v>109</v>
      </c>
      <c r="G344" s="238">
        <v>120000</v>
      </c>
      <c r="H344" s="238">
        <v>70000</v>
      </c>
      <c r="I344" s="238"/>
      <c r="J344" s="518">
        <v>48000</v>
      </c>
      <c r="K344" s="238">
        <f t="shared" si="53"/>
        <v>-22000</v>
      </c>
      <c r="L344" s="241">
        <f>SUM(J344:J344)</f>
        <v>48000</v>
      </c>
      <c r="M344" s="241" t="e">
        <f>#REF!-#REF!</f>
        <v>#REF!</v>
      </c>
      <c r="N344" s="240"/>
      <c r="O344" s="210">
        <v>48000</v>
      </c>
      <c r="P344" s="210">
        <v>48000</v>
      </c>
      <c r="Q344" s="210">
        <v>48000</v>
      </c>
    </row>
    <row r="345" spans="1:17">
      <c r="A345" s="128">
        <v>53000</v>
      </c>
      <c r="B345" s="129">
        <v>155</v>
      </c>
      <c r="C345" s="129">
        <v>12</v>
      </c>
      <c r="D345" s="130" t="s">
        <v>200</v>
      </c>
      <c r="E345" s="130" t="s">
        <v>221</v>
      </c>
      <c r="F345" s="483" t="s">
        <v>110</v>
      </c>
      <c r="G345" s="238"/>
      <c r="H345" s="238"/>
      <c r="I345" s="238"/>
      <c r="J345" s="518"/>
      <c r="K345" s="238">
        <f t="shared" si="53"/>
        <v>0</v>
      </c>
      <c r="L345" s="241">
        <f>SUM(J345:J345)</f>
        <v>0</v>
      </c>
      <c r="M345" s="241" t="e">
        <f>#REF!-#REF!</f>
        <v>#REF!</v>
      </c>
      <c r="N345" s="240"/>
      <c r="O345" s="210"/>
      <c r="P345" s="210"/>
      <c r="Q345" s="210"/>
    </row>
    <row r="346" spans="1:17">
      <c r="A346" s="128">
        <v>53000</v>
      </c>
      <c r="B346" s="129">
        <v>155</v>
      </c>
      <c r="C346" s="129">
        <v>12</v>
      </c>
      <c r="D346" s="129">
        <v>16</v>
      </c>
      <c r="E346" s="136">
        <v>25</v>
      </c>
      <c r="F346" s="483" t="s">
        <v>111</v>
      </c>
      <c r="G346" s="238">
        <v>50000</v>
      </c>
      <c r="H346" s="238">
        <v>40000</v>
      </c>
      <c r="I346" s="238"/>
      <c r="J346" s="518">
        <v>8000</v>
      </c>
      <c r="K346" s="238">
        <f t="shared" si="53"/>
        <v>-32000</v>
      </c>
      <c r="L346" s="241">
        <f>SUM(J346:J346)</f>
        <v>8000</v>
      </c>
      <c r="M346" s="241" t="e">
        <f>#REF!-#REF!</f>
        <v>#REF!</v>
      </c>
      <c r="N346" s="240"/>
      <c r="O346" s="210">
        <v>8000</v>
      </c>
      <c r="P346" s="210">
        <v>8000</v>
      </c>
      <c r="Q346" s="210">
        <v>8000</v>
      </c>
    </row>
    <row r="347" spans="1:17">
      <c r="A347" s="128">
        <v>53000</v>
      </c>
      <c r="B347" s="129">
        <v>155</v>
      </c>
      <c r="C347" s="129">
        <v>12</v>
      </c>
      <c r="D347" s="129">
        <v>14</v>
      </c>
      <c r="E347" s="130" t="s">
        <v>203</v>
      </c>
      <c r="F347" s="483" t="s">
        <v>112</v>
      </c>
      <c r="G347" s="238">
        <v>270000</v>
      </c>
      <c r="H347" s="238">
        <v>157500</v>
      </c>
      <c r="I347" s="238"/>
      <c r="J347" s="518">
        <v>90000</v>
      </c>
      <c r="K347" s="238">
        <f t="shared" si="53"/>
        <v>-67500</v>
      </c>
      <c r="L347" s="241">
        <f>SUM(J347:J347)</f>
        <v>90000</v>
      </c>
      <c r="M347" s="241" t="e">
        <f>#REF!-#REF!</f>
        <v>#REF!</v>
      </c>
      <c r="N347" s="240"/>
      <c r="O347" s="210">
        <v>90000</v>
      </c>
      <c r="P347" s="210">
        <v>90000</v>
      </c>
      <c r="Q347" s="210">
        <v>90000</v>
      </c>
    </row>
    <row r="348" spans="1:17" ht="38.25">
      <c r="A348" s="128">
        <v>53000</v>
      </c>
      <c r="B348" s="129">
        <v>155</v>
      </c>
      <c r="C348" s="129">
        <v>12</v>
      </c>
      <c r="D348" s="130" t="s">
        <v>200</v>
      </c>
      <c r="E348" s="130">
        <v>27</v>
      </c>
      <c r="F348" s="483" t="s">
        <v>113</v>
      </c>
      <c r="G348" s="238"/>
      <c r="H348" s="238"/>
      <c r="I348" s="238"/>
      <c r="J348" s="518"/>
      <c r="K348" s="238">
        <f t="shared" si="53"/>
        <v>0</v>
      </c>
      <c r="L348" s="241"/>
      <c r="M348" s="241"/>
      <c r="N348" s="240"/>
      <c r="O348" s="210"/>
      <c r="P348" s="210"/>
      <c r="Q348" s="210"/>
    </row>
    <row r="349" spans="1:17">
      <c r="A349" s="128">
        <v>53000</v>
      </c>
      <c r="B349" s="129">
        <v>155</v>
      </c>
      <c r="C349" s="129">
        <v>12</v>
      </c>
      <c r="D349" s="130" t="s">
        <v>200</v>
      </c>
      <c r="E349" s="129">
        <v>28</v>
      </c>
      <c r="F349" s="483" t="s">
        <v>114</v>
      </c>
      <c r="G349" s="238">
        <v>300000</v>
      </c>
      <c r="H349" s="238">
        <v>350000</v>
      </c>
      <c r="I349" s="238">
        <v>15000</v>
      </c>
      <c r="J349" s="518">
        <v>600000</v>
      </c>
      <c r="K349" s="238">
        <f t="shared" si="53"/>
        <v>250000</v>
      </c>
      <c r="L349" s="241">
        <f>SUM(J349:J349)</f>
        <v>600000</v>
      </c>
      <c r="M349" s="241" t="e">
        <f>#REF!-#REF!</f>
        <v>#REF!</v>
      </c>
      <c r="N349" s="240"/>
      <c r="O349" s="210">
        <v>600000</v>
      </c>
      <c r="P349" s="210">
        <v>600000</v>
      </c>
      <c r="Q349" s="210">
        <v>600000</v>
      </c>
    </row>
    <row r="350" spans="1:17" ht="13.5" thickBot="1">
      <c r="A350" s="128">
        <v>53000</v>
      </c>
      <c r="B350" s="129">
        <v>155</v>
      </c>
      <c r="C350" s="129">
        <v>12</v>
      </c>
      <c r="D350" s="129">
        <v>99</v>
      </c>
      <c r="E350" s="129">
        <v>99</v>
      </c>
      <c r="F350" s="483" t="s">
        <v>36</v>
      </c>
      <c r="G350" s="238">
        <v>105000</v>
      </c>
      <c r="H350" s="238">
        <v>125000</v>
      </c>
      <c r="I350" s="238"/>
      <c r="J350" s="518">
        <v>130000</v>
      </c>
      <c r="K350" s="238">
        <f t="shared" si="53"/>
        <v>5000</v>
      </c>
      <c r="L350" s="241">
        <f>SUM(J350:J350)</f>
        <v>130000</v>
      </c>
      <c r="M350" s="241" t="e">
        <f>#REF!-#REF!</f>
        <v>#REF!</v>
      </c>
      <c r="N350" s="240"/>
      <c r="O350" s="210">
        <v>130000</v>
      </c>
      <c r="P350" s="210">
        <v>130000</v>
      </c>
      <c r="Q350" s="210">
        <v>130000</v>
      </c>
    </row>
    <row r="351" spans="1:17" ht="39" thickBot="1">
      <c r="F351" s="501" t="s">
        <v>293</v>
      </c>
      <c r="G351" s="245">
        <v>875000</v>
      </c>
      <c r="H351" s="245">
        <v>772500</v>
      </c>
      <c r="I351" s="245">
        <f t="shared" ref="I351:Q351" si="54">SUM(I343:I350)</f>
        <v>15000</v>
      </c>
      <c r="J351" s="541">
        <f t="shared" si="54"/>
        <v>888000</v>
      </c>
      <c r="K351" s="245">
        <f t="shared" si="54"/>
        <v>115500</v>
      </c>
      <c r="L351" s="474">
        <f t="shared" si="54"/>
        <v>888000</v>
      </c>
      <c r="M351" s="245" t="e">
        <f t="shared" si="54"/>
        <v>#REF!</v>
      </c>
      <c r="N351" s="265">
        <f t="shared" si="54"/>
        <v>0</v>
      </c>
      <c r="O351" s="245">
        <f t="shared" si="54"/>
        <v>896000</v>
      </c>
      <c r="P351" s="245">
        <f t="shared" si="54"/>
        <v>896000</v>
      </c>
      <c r="Q351" s="245">
        <f t="shared" si="54"/>
        <v>896000</v>
      </c>
    </row>
    <row r="352" spans="1:17">
      <c r="F352" s="496"/>
      <c r="G352" s="246"/>
      <c r="H352" s="238"/>
      <c r="I352" s="238" t="s">
        <v>1</v>
      </c>
      <c r="J352" s="518"/>
      <c r="K352" s="238"/>
      <c r="L352" s="241"/>
      <c r="M352" s="241"/>
      <c r="N352" s="240"/>
      <c r="O352" s="210"/>
      <c r="P352" s="210"/>
      <c r="Q352" s="210"/>
    </row>
    <row r="353" spans="1:17">
      <c r="B353" s="1"/>
      <c r="F353" s="500" t="s">
        <v>115</v>
      </c>
      <c r="G353" s="246"/>
      <c r="H353" s="238"/>
      <c r="I353" s="238" t="s">
        <v>1</v>
      </c>
      <c r="J353" s="518"/>
      <c r="K353" s="238"/>
      <c r="L353" s="241"/>
      <c r="M353" s="241"/>
      <c r="N353" s="240"/>
      <c r="O353" s="210"/>
      <c r="P353" s="210"/>
      <c r="Q353" s="210"/>
    </row>
    <row r="354" spans="1:17" ht="25.5">
      <c r="A354" s="128">
        <v>53000</v>
      </c>
      <c r="B354" s="141" t="s">
        <v>196</v>
      </c>
      <c r="C354" s="129">
        <v>12</v>
      </c>
      <c r="D354" s="130" t="s">
        <v>200</v>
      </c>
      <c r="E354" s="129">
        <v>31</v>
      </c>
      <c r="F354" s="496" t="s">
        <v>508</v>
      </c>
      <c r="G354" s="238"/>
      <c r="H354" s="238">
        <v>336537133</v>
      </c>
      <c r="I354" s="238" t="s">
        <v>1</v>
      </c>
      <c r="J354" s="518">
        <v>364405000</v>
      </c>
      <c r="K354" s="238">
        <f>J354-H354</f>
        <v>27867867</v>
      </c>
      <c r="L354" s="241"/>
      <c r="M354" s="241"/>
      <c r="N354" s="240"/>
      <c r="O354" s="210">
        <v>382625250</v>
      </c>
      <c r="P354" s="210">
        <v>401756513</v>
      </c>
      <c r="Q354" s="210">
        <v>421844338</v>
      </c>
    </row>
    <row r="355" spans="1:17" ht="25.5">
      <c r="A355" s="128">
        <v>53000</v>
      </c>
      <c r="B355" s="141" t="s">
        <v>196</v>
      </c>
      <c r="C355" s="129">
        <v>12</v>
      </c>
      <c r="D355" s="130" t="s">
        <v>200</v>
      </c>
      <c r="E355" s="130" t="s">
        <v>226</v>
      </c>
      <c r="F355" s="483" t="s">
        <v>507</v>
      </c>
      <c r="G355" s="238"/>
      <c r="H355" s="238">
        <v>95886516</v>
      </c>
      <c r="I355" s="238" t="s">
        <v>1</v>
      </c>
      <c r="J355" s="518">
        <v>114312850</v>
      </c>
      <c r="K355" s="238">
        <f>J355-H355</f>
        <v>18426334</v>
      </c>
      <c r="L355" s="241"/>
      <c r="M355" s="241"/>
      <c r="N355" s="240"/>
      <c r="O355" s="210">
        <v>120028493</v>
      </c>
      <c r="P355" s="210">
        <v>126029917</v>
      </c>
      <c r="Q355" s="210">
        <v>132331413</v>
      </c>
    </row>
    <row r="356" spans="1:17" ht="13.5" thickBot="1">
      <c r="A356" s="128">
        <v>53000</v>
      </c>
      <c r="B356" s="141" t="s">
        <v>196</v>
      </c>
      <c r="C356" s="129">
        <v>12</v>
      </c>
      <c r="D356" s="129">
        <v>99</v>
      </c>
      <c r="E356" s="129">
        <v>99</v>
      </c>
      <c r="F356" s="483" t="s">
        <v>116</v>
      </c>
      <c r="G356" s="238"/>
      <c r="H356" s="238">
        <v>197620617</v>
      </c>
      <c r="I356" s="238" t="s">
        <v>1</v>
      </c>
      <c r="J356" s="518">
        <v>224457967</v>
      </c>
      <c r="K356" s="238">
        <f>J356-H356</f>
        <v>26837350</v>
      </c>
      <c r="L356" s="241"/>
      <c r="M356" s="241"/>
      <c r="N356" s="240"/>
      <c r="O356" s="210">
        <v>235680865</v>
      </c>
      <c r="P356" s="210">
        <v>247464909</v>
      </c>
      <c r="Q356" s="210">
        <v>259838154</v>
      </c>
    </row>
    <row r="357" spans="1:17" ht="26.25" thickBot="1">
      <c r="B357" s="1"/>
      <c r="F357" s="501" t="s">
        <v>327</v>
      </c>
      <c r="G357" s="245">
        <v>0</v>
      </c>
      <c r="H357" s="245">
        <v>630044266</v>
      </c>
      <c r="I357" s="245">
        <f>SUM(I354:I356)</f>
        <v>0</v>
      </c>
      <c r="J357" s="541">
        <f>SUM(J354:J356)</f>
        <v>703175817</v>
      </c>
      <c r="K357" s="245">
        <f t="shared" ref="K357:Q357" si="55">SUM(K354:K356)</f>
        <v>73131551</v>
      </c>
      <c r="L357" s="474">
        <f t="shared" si="55"/>
        <v>0</v>
      </c>
      <c r="M357" s="245">
        <f t="shared" si="55"/>
        <v>0</v>
      </c>
      <c r="N357" s="265">
        <f t="shared" si="55"/>
        <v>0</v>
      </c>
      <c r="O357" s="245">
        <f t="shared" si="55"/>
        <v>738334608</v>
      </c>
      <c r="P357" s="245">
        <f t="shared" si="55"/>
        <v>775251339</v>
      </c>
      <c r="Q357" s="245">
        <f t="shared" si="55"/>
        <v>814013905</v>
      </c>
    </row>
    <row r="358" spans="1:17">
      <c r="F358" s="496"/>
      <c r="G358" s="246" t="s">
        <v>1</v>
      </c>
      <c r="H358" s="238"/>
      <c r="I358" s="238" t="s">
        <v>1</v>
      </c>
      <c r="J358" s="518"/>
      <c r="K358" s="238"/>
      <c r="L358" s="241"/>
      <c r="M358" s="241"/>
      <c r="N358" s="240"/>
      <c r="O358" s="210"/>
      <c r="P358" s="210"/>
      <c r="Q358" s="210"/>
    </row>
    <row r="359" spans="1:17" ht="25.5">
      <c r="F359" s="500" t="s">
        <v>117</v>
      </c>
      <c r="G359" s="246" t="s">
        <v>1</v>
      </c>
      <c r="H359" s="238"/>
      <c r="I359" s="238" t="s">
        <v>1</v>
      </c>
      <c r="J359" s="518"/>
      <c r="K359" s="238"/>
      <c r="L359" s="241"/>
      <c r="M359" s="241"/>
      <c r="N359" s="240"/>
      <c r="O359" s="210"/>
      <c r="P359" s="210"/>
      <c r="Q359" s="210"/>
    </row>
    <row r="360" spans="1:17">
      <c r="A360" s="128">
        <v>53000</v>
      </c>
      <c r="B360" s="129">
        <v>359</v>
      </c>
      <c r="C360" s="129">
        <v>12</v>
      </c>
      <c r="D360" s="130" t="s">
        <v>200</v>
      </c>
      <c r="E360" s="130" t="s">
        <v>231</v>
      </c>
      <c r="F360" s="483" t="s">
        <v>118</v>
      </c>
      <c r="G360" s="238"/>
      <c r="H360" s="238">
        <v>82703300</v>
      </c>
      <c r="I360" s="238">
        <v>46991700</v>
      </c>
      <c r="J360" s="518">
        <v>109231300</v>
      </c>
      <c r="K360" s="238">
        <f t="shared" ref="K360:K370" si="56">J360-H360</f>
        <v>26528000</v>
      </c>
      <c r="L360" s="241">
        <f>SUM(L343:L359)</f>
        <v>1776000</v>
      </c>
      <c r="M360" s="241" t="e">
        <f>SUM(M343:M350)</f>
        <v>#REF!</v>
      </c>
      <c r="N360" s="240"/>
      <c r="O360" s="210">
        <v>113871600</v>
      </c>
      <c r="P360" s="210">
        <v>124033900</v>
      </c>
      <c r="Q360" s="210">
        <v>128879500</v>
      </c>
    </row>
    <row r="361" spans="1:17">
      <c r="A361" s="128">
        <v>53000</v>
      </c>
      <c r="B361" s="129">
        <v>359</v>
      </c>
      <c r="C361" s="129">
        <v>12</v>
      </c>
      <c r="D361" s="129">
        <v>16</v>
      </c>
      <c r="E361" s="130" t="s">
        <v>226</v>
      </c>
      <c r="F361" s="483" t="s">
        <v>119</v>
      </c>
      <c r="G361" s="238">
        <v>10000</v>
      </c>
      <c r="H361" s="238">
        <v>1205072</v>
      </c>
      <c r="I361" s="238">
        <v>999154</v>
      </c>
      <c r="J361" s="518">
        <v>900000</v>
      </c>
      <c r="K361" s="238">
        <f t="shared" si="56"/>
        <v>-305072</v>
      </c>
      <c r="L361" s="241"/>
      <c r="M361" s="241"/>
      <c r="N361" s="240"/>
      <c r="O361" s="210">
        <v>900000</v>
      </c>
      <c r="P361" s="210">
        <v>900000</v>
      </c>
      <c r="Q361" s="210">
        <v>900000</v>
      </c>
    </row>
    <row r="362" spans="1:17">
      <c r="E362" s="130"/>
      <c r="F362" s="483" t="s">
        <v>591</v>
      </c>
      <c r="G362" s="238"/>
      <c r="H362" s="238"/>
      <c r="I362" s="238"/>
      <c r="J362" s="518">
        <v>50000</v>
      </c>
      <c r="K362" s="238"/>
      <c r="L362" s="241"/>
      <c r="M362" s="241"/>
      <c r="N362" s="240"/>
      <c r="O362" s="210">
        <v>100000</v>
      </c>
      <c r="P362" s="210">
        <v>150000</v>
      </c>
      <c r="Q362" s="210">
        <v>200000</v>
      </c>
    </row>
    <row r="363" spans="1:17">
      <c r="A363" s="128">
        <v>53000</v>
      </c>
      <c r="B363" s="129">
        <v>359</v>
      </c>
      <c r="C363" s="129">
        <v>12</v>
      </c>
      <c r="D363" s="129">
        <v>16</v>
      </c>
      <c r="E363" s="130" t="s">
        <v>231</v>
      </c>
      <c r="F363" s="483" t="s">
        <v>120</v>
      </c>
      <c r="G363" s="238">
        <v>262500</v>
      </c>
      <c r="H363" s="238">
        <v>725000</v>
      </c>
      <c r="I363" s="238">
        <v>118503</v>
      </c>
      <c r="J363" s="518">
        <v>725000</v>
      </c>
      <c r="K363" s="238">
        <f t="shared" si="56"/>
        <v>0</v>
      </c>
      <c r="L363" s="241"/>
      <c r="M363" s="241"/>
      <c r="N363" s="240"/>
      <c r="O363" s="210">
        <v>800000</v>
      </c>
      <c r="P363" s="210">
        <v>825000</v>
      </c>
      <c r="Q363" s="210">
        <v>900000</v>
      </c>
    </row>
    <row r="364" spans="1:17">
      <c r="A364" s="128">
        <v>53000</v>
      </c>
      <c r="B364" s="129">
        <v>359</v>
      </c>
      <c r="C364" s="129">
        <v>12</v>
      </c>
      <c r="D364" s="130" t="s">
        <v>200</v>
      </c>
      <c r="E364" s="130">
        <v>32</v>
      </c>
      <c r="F364" s="483" t="s">
        <v>338</v>
      </c>
      <c r="G364" s="238">
        <v>402600</v>
      </c>
      <c r="H364" s="238">
        <v>440000</v>
      </c>
      <c r="I364" s="238">
        <v>5106800</v>
      </c>
      <c r="J364" s="518">
        <v>840000</v>
      </c>
      <c r="K364" s="238">
        <f t="shared" si="56"/>
        <v>400000</v>
      </c>
      <c r="L364" s="241"/>
      <c r="M364" s="241"/>
      <c r="N364" s="240"/>
      <c r="O364" s="210">
        <v>924000</v>
      </c>
      <c r="P364" s="210">
        <v>928200</v>
      </c>
      <c r="Q364" s="210">
        <v>953400</v>
      </c>
    </row>
    <row r="365" spans="1:17">
      <c r="A365" s="128">
        <v>53000</v>
      </c>
      <c r="B365" s="129">
        <v>359</v>
      </c>
      <c r="C365" s="129">
        <v>12</v>
      </c>
      <c r="D365" s="130" t="s">
        <v>200</v>
      </c>
      <c r="E365" s="130">
        <v>39</v>
      </c>
      <c r="F365" s="483" t="s">
        <v>339</v>
      </c>
      <c r="G365" s="238">
        <v>0</v>
      </c>
      <c r="H365" s="238"/>
      <c r="I365" s="238">
        <v>293800</v>
      </c>
      <c r="J365" s="518"/>
      <c r="K365" s="238">
        <f t="shared" si="56"/>
        <v>0</v>
      </c>
      <c r="L365" s="241"/>
      <c r="M365" s="241"/>
      <c r="N365" s="240"/>
      <c r="O365" s="210"/>
      <c r="P365" s="210"/>
      <c r="Q365" s="210"/>
    </row>
    <row r="366" spans="1:17">
      <c r="A366" s="128">
        <v>53000</v>
      </c>
      <c r="B366" s="129">
        <v>359</v>
      </c>
      <c r="C366" s="129">
        <v>12</v>
      </c>
      <c r="D366" s="130" t="s">
        <v>200</v>
      </c>
      <c r="E366" s="130">
        <v>40</v>
      </c>
      <c r="F366" s="483" t="s">
        <v>340</v>
      </c>
      <c r="G366" s="238">
        <v>5062200</v>
      </c>
      <c r="H366" s="238">
        <v>5005000</v>
      </c>
      <c r="I366" s="238">
        <v>2787400</v>
      </c>
      <c r="J366" s="518">
        <v>9555000</v>
      </c>
      <c r="K366" s="238">
        <f t="shared" si="56"/>
        <v>4550000</v>
      </c>
      <c r="L366" s="241"/>
      <c r="M366" s="241"/>
      <c r="N366" s="240"/>
      <c r="O366" s="210">
        <v>10029600</v>
      </c>
      <c r="P366" s="210">
        <v>11596200</v>
      </c>
      <c r="Q366" s="210">
        <v>13914600</v>
      </c>
    </row>
    <row r="367" spans="1:17">
      <c r="A367" s="128">
        <v>53000</v>
      </c>
      <c r="B367" s="129">
        <v>359</v>
      </c>
      <c r="C367" s="129">
        <v>12</v>
      </c>
      <c r="D367" s="130" t="s">
        <v>200</v>
      </c>
      <c r="E367" s="130">
        <v>41</v>
      </c>
      <c r="F367" s="483" t="s">
        <v>475</v>
      </c>
      <c r="G367" s="238">
        <v>30000</v>
      </c>
      <c r="H367" s="238">
        <v>30000</v>
      </c>
      <c r="I367" s="238"/>
      <c r="J367" s="518">
        <v>30000</v>
      </c>
      <c r="K367" s="238">
        <f t="shared" si="56"/>
        <v>0</v>
      </c>
      <c r="L367" s="241"/>
      <c r="M367" s="241"/>
      <c r="N367" s="240"/>
      <c r="O367" s="210"/>
      <c r="P367" s="210">
        <v>30000</v>
      </c>
      <c r="Q367" s="210">
        <v>30000</v>
      </c>
    </row>
    <row r="368" spans="1:17">
      <c r="A368" s="128">
        <v>53000</v>
      </c>
      <c r="B368" s="129">
        <v>359</v>
      </c>
      <c r="C368" s="129">
        <v>12</v>
      </c>
      <c r="D368" s="130" t="s">
        <v>200</v>
      </c>
      <c r="E368" s="130">
        <v>42</v>
      </c>
      <c r="F368" s="483" t="s">
        <v>476</v>
      </c>
      <c r="G368" s="238">
        <v>444000</v>
      </c>
      <c r="H368" s="238">
        <v>621000</v>
      </c>
      <c r="I368" s="238">
        <v>183950</v>
      </c>
      <c r="J368" s="518">
        <v>360000</v>
      </c>
      <c r="K368" s="238">
        <f t="shared" si="56"/>
        <v>-261000</v>
      </c>
      <c r="L368" s="241"/>
      <c r="M368" s="241"/>
      <c r="N368" s="240"/>
      <c r="O368" s="210">
        <v>420000</v>
      </c>
      <c r="P368" s="210">
        <v>540000</v>
      </c>
      <c r="Q368" s="210">
        <v>600000</v>
      </c>
    </row>
    <row r="369" spans="1:17">
      <c r="A369" s="128">
        <v>53000</v>
      </c>
      <c r="B369" s="129">
        <v>359</v>
      </c>
      <c r="C369" s="129">
        <v>12</v>
      </c>
      <c r="D369" s="130" t="s">
        <v>200</v>
      </c>
      <c r="E369" s="130">
        <v>43</v>
      </c>
      <c r="F369" s="483" t="s">
        <v>477</v>
      </c>
      <c r="G369" s="238"/>
      <c r="H369" s="238"/>
      <c r="I369" s="238"/>
      <c r="J369" s="518">
        <v>125000</v>
      </c>
      <c r="K369" s="238">
        <f t="shared" si="56"/>
        <v>125000</v>
      </c>
      <c r="L369" s="241"/>
      <c r="M369" s="241"/>
      <c r="N369" s="240"/>
      <c r="O369" s="210">
        <v>150000</v>
      </c>
      <c r="P369" s="210">
        <v>175000</v>
      </c>
      <c r="Q369" s="210">
        <v>200000</v>
      </c>
    </row>
    <row r="370" spans="1:17">
      <c r="A370" s="128">
        <v>53000</v>
      </c>
      <c r="B370" s="129">
        <v>359</v>
      </c>
      <c r="C370" s="129">
        <v>12</v>
      </c>
      <c r="D370" s="130" t="s">
        <v>200</v>
      </c>
      <c r="E370" s="130">
        <v>44</v>
      </c>
      <c r="F370" s="483" t="s">
        <v>478</v>
      </c>
      <c r="G370" s="238"/>
      <c r="H370" s="238">
        <v>60000</v>
      </c>
      <c r="I370" s="238"/>
      <c r="J370" s="518">
        <v>900000</v>
      </c>
      <c r="K370" s="238">
        <f t="shared" si="56"/>
        <v>840000</v>
      </c>
      <c r="L370" s="241"/>
      <c r="M370" s="241"/>
      <c r="N370" s="240"/>
      <c r="O370" s="210">
        <v>1050000</v>
      </c>
      <c r="P370" s="210">
        <v>1200000</v>
      </c>
      <c r="Q370" s="210">
        <v>1500000</v>
      </c>
    </row>
    <row r="371" spans="1:17" ht="13.5" thickBot="1">
      <c r="A371" s="128">
        <v>53000</v>
      </c>
      <c r="B371" s="129">
        <v>359</v>
      </c>
      <c r="C371" s="129">
        <v>12</v>
      </c>
      <c r="D371" s="129">
        <v>99</v>
      </c>
      <c r="E371" s="129">
        <v>99</v>
      </c>
      <c r="F371" s="483" t="s">
        <v>116</v>
      </c>
      <c r="G371" s="238">
        <v>84360900</v>
      </c>
      <c r="H371" s="238"/>
      <c r="I371" s="238"/>
      <c r="J371" s="518"/>
      <c r="K371" s="238"/>
      <c r="L371" s="241"/>
      <c r="M371" s="241"/>
      <c r="N371" s="240"/>
      <c r="O371" s="210"/>
      <c r="P371" s="210"/>
      <c r="Q371" s="210"/>
    </row>
    <row r="372" spans="1:17" ht="26.25" thickBot="1">
      <c r="F372" s="501" t="s">
        <v>294</v>
      </c>
      <c r="G372" s="245">
        <v>90572200</v>
      </c>
      <c r="H372" s="245">
        <v>90789372</v>
      </c>
      <c r="I372" s="245">
        <f>SUM(I360:I371)</f>
        <v>56481307</v>
      </c>
      <c r="J372" s="541">
        <f>SUM(J360:J371)</f>
        <v>122716300</v>
      </c>
      <c r="K372" s="245">
        <f t="shared" ref="K372:Q372" si="57">SUM(K360:K371)</f>
        <v>31876928</v>
      </c>
      <c r="L372" s="474">
        <f t="shared" si="57"/>
        <v>1776000</v>
      </c>
      <c r="M372" s="245" t="e">
        <f t="shared" si="57"/>
        <v>#REF!</v>
      </c>
      <c r="N372" s="265">
        <f t="shared" si="57"/>
        <v>0</v>
      </c>
      <c r="O372" s="245">
        <f t="shared" si="57"/>
        <v>128245200</v>
      </c>
      <c r="P372" s="245">
        <f t="shared" si="57"/>
        <v>140378300</v>
      </c>
      <c r="Q372" s="245">
        <f t="shared" si="57"/>
        <v>148077500</v>
      </c>
    </row>
    <row r="373" spans="1:17" s="374" customFormat="1">
      <c r="A373" s="375"/>
      <c r="B373" s="229"/>
      <c r="C373" s="229"/>
      <c r="D373" s="229"/>
      <c r="E373" s="229"/>
      <c r="F373" s="505"/>
      <c r="G373" s="379"/>
      <c r="H373" s="379"/>
      <c r="I373" s="379"/>
      <c r="J373" s="557"/>
      <c r="K373" s="379"/>
      <c r="L373" s="371"/>
      <c r="M373" s="371"/>
      <c r="N373" s="372"/>
      <c r="O373" s="373"/>
      <c r="P373" s="373"/>
      <c r="Q373" s="373"/>
    </row>
    <row r="374" spans="1:17" ht="38.25">
      <c r="F374" s="495" t="s">
        <v>298</v>
      </c>
      <c r="G374" s="246"/>
      <c r="H374" s="238"/>
      <c r="I374" s="238" t="s">
        <v>1</v>
      </c>
      <c r="J374" s="518"/>
      <c r="K374" s="238"/>
      <c r="L374" s="241"/>
      <c r="M374" s="241"/>
      <c r="N374" s="240"/>
      <c r="O374" s="210"/>
      <c r="P374" s="210"/>
      <c r="Q374" s="210"/>
    </row>
    <row r="375" spans="1:17">
      <c r="A375" s="128">
        <v>56000</v>
      </c>
      <c r="B375" s="129">
        <v>224</v>
      </c>
      <c r="C375" s="129">
        <v>12</v>
      </c>
      <c r="D375" s="129">
        <v>16</v>
      </c>
      <c r="E375" s="129">
        <v>26</v>
      </c>
      <c r="F375" s="496" t="s">
        <v>234</v>
      </c>
      <c r="G375" s="238">
        <v>16000000</v>
      </c>
      <c r="H375" s="238">
        <v>22018000</v>
      </c>
      <c r="I375" s="330">
        <v>8740417.5</v>
      </c>
      <c r="J375" s="518">
        <f>12000000+4309000</f>
        <v>16309000</v>
      </c>
      <c r="K375" s="238">
        <f>J375-H375</f>
        <v>-5709000</v>
      </c>
      <c r="L375" s="241">
        <f>SUM(L372:L374)</f>
        <v>1776000</v>
      </c>
      <c r="M375" s="241" t="e">
        <f>M372</f>
        <v>#REF!</v>
      </c>
      <c r="N375" s="240"/>
      <c r="O375" s="210">
        <f>12000000+4167000</f>
        <v>16167000</v>
      </c>
      <c r="P375" s="210">
        <f>12000000+3725000</f>
        <v>15725000</v>
      </c>
      <c r="Q375" s="210">
        <f>12000000+3760000</f>
        <v>15760000</v>
      </c>
    </row>
    <row r="376" spans="1:17" ht="13.5" thickBot="1">
      <c r="A376" s="128">
        <v>56000</v>
      </c>
      <c r="B376" s="129">
        <v>224</v>
      </c>
      <c r="C376" s="129">
        <v>12</v>
      </c>
      <c r="D376" s="129">
        <v>99</v>
      </c>
      <c r="E376" s="129">
        <v>99</v>
      </c>
      <c r="F376" s="496" t="s">
        <v>191</v>
      </c>
      <c r="G376" s="238">
        <v>4000000</v>
      </c>
      <c r="H376" s="238">
        <v>104554000</v>
      </c>
      <c r="I376" s="330">
        <v>56745136.200000003</v>
      </c>
      <c r="J376" s="518">
        <f>4596000+105420000</f>
        <v>110016000</v>
      </c>
      <c r="K376" s="238">
        <f>J376-H376</f>
        <v>5462000</v>
      </c>
      <c r="L376" s="241"/>
      <c r="M376" s="241"/>
      <c r="N376" s="240"/>
      <c r="O376" s="210">
        <f>4596000+107889000</f>
        <v>112485000</v>
      </c>
      <c r="P376" s="210">
        <f>4596000+107889000</f>
        <v>112485000</v>
      </c>
      <c r="Q376" s="210">
        <f>4596000+107889000</f>
        <v>112485000</v>
      </c>
    </row>
    <row r="377" spans="1:17" s="374" customFormat="1" ht="38.25">
      <c r="A377" s="375"/>
      <c r="B377" s="229"/>
      <c r="C377" s="229"/>
      <c r="D377" s="229"/>
      <c r="E377" s="229"/>
      <c r="F377" s="506" t="s">
        <v>299</v>
      </c>
      <c r="G377" s="268">
        <v>20000000</v>
      </c>
      <c r="H377" s="268">
        <v>126572000</v>
      </c>
      <c r="I377" s="473">
        <f t="shared" ref="I377:Q377" si="58">SUM(I375:I376)</f>
        <v>65485553.700000003</v>
      </c>
      <c r="J377" s="558">
        <f t="shared" si="58"/>
        <v>126325000</v>
      </c>
      <c r="K377" s="268">
        <f t="shared" si="58"/>
        <v>-247000</v>
      </c>
      <c r="L377" s="482">
        <f t="shared" si="58"/>
        <v>1776000</v>
      </c>
      <c r="M377" s="268" t="e">
        <f t="shared" si="58"/>
        <v>#REF!</v>
      </c>
      <c r="N377" s="283">
        <f t="shared" si="58"/>
        <v>0</v>
      </c>
      <c r="O377" s="268">
        <f t="shared" si="58"/>
        <v>128652000</v>
      </c>
      <c r="P377" s="268">
        <f t="shared" si="58"/>
        <v>128210000</v>
      </c>
      <c r="Q377" s="268">
        <f t="shared" si="58"/>
        <v>128245000</v>
      </c>
    </row>
    <row r="378" spans="1:17">
      <c r="F378" s="256"/>
      <c r="G378" s="490"/>
      <c r="H378" s="238"/>
      <c r="I378" s="238" t="s">
        <v>1</v>
      </c>
      <c r="J378" s="518"/>
      <c r="K378" s="238"/>
      <c r="L378" s="241"/>
      <c r="M378" s="241"/>
      <c r="N378" s="240"/>
      <c r="O378" s="210"/>
      <c r="P378" s="210"/>
      <c r="Q378" s="210"/>
    </row>
    <row r="379" spans="1:17">
      <c r="F379" s="255" t="s">
        <v>124</v>
      </c>
      <c r="G379" s="490"/>
      <c r="H379" s="238"/>
      <c r="I379" s="238" t="s">
        <v>1</v>
      </c>
      <c r="J379" s="518"/>
      <c r="K379" s="238"/>
      <c r="L379" s="241"/>
      <c r="M379" s="241"/>
      <c r="N379" s="240"/>
      <c r="O379" s="210"/>
      <c r="P379" s="210"/>
      <c r="Q379" s="210"/>
    </row>
    <row r="380" spans="1:17">
      <c r="A380" s="128">
        <v>56000</v>
      </c>
      <c r="B380" s="129">
        <v>751</v>
      </c>
      <c r="C380" s="129">
        <v>12</v>
      </c>
      <c r="D380" s="129">
        <v>15</v>
      </c>
      <c r="E380" s="129">
        <v>12</v>
      </c>
      <c r="F380" s="256" t="s">
        <v>125</v>
      </c>
      <c r="G380" s="490"/>
      <c r="H380" s="238"/>
      <c r="I380" s="238" t="s">
        <v>1</v>
      </c>
      <c r="J380" s="518"/>
      <c r="K380" s="238"/>
      <c r="L380" s="241"/>
      <c r="M380" s="241"/>
      <c r="N380" s="240"/>
      <c r="O380" s="210"/>
      <c r="P380" s="210"/>
      <c r="Q380" s="210"/>
    </row>
    <row r="381" spans="1:17">
      <c r="A381" s="128">
        <v>56000</v>
      </c>
      <c r="B381" s="129">
        <v>751</v>
      </c>
      <c r="C381" s="129">
        <v>12</v>
      </c>
      <c r="D381" s="129">
        <v>15</v>
      </c>
      <c r="E381" s="129">
        <v>12</v>
      </c>
      <c r="F381" s="256" t="s">
        <v>126</v>
      </c>
      <c r="G381" s="490"/>
      <c r="H381" s="238"/>
      <c r="I381" s="238" t="s">
        <v>1</v>
      </c>
      <c r="J381" s="518"/>
      <c r="K381" s="238"/>
      <c r="L381" s="241"/>
      <c r="M381" s="241"/>
      <c r="N381" s="240"/>
      <c r="O381" s="210"/>
      <c r="P381" s="210"/>
      <c r="Q381" s="210"/>
    </row>
    <row r="382" spans="1:17">
      <c r="A382" s="128">
        <v>56000</v>
      </c>
      <c r="B382" s="129">
        <v>751</v>
      </c>
      <c r="C382" s="129">
        <v>12</v>
      </c>
      <c r="D382" s="129">
        <v>15</v>
      </c>
      <c r="E382" s="129">
        <v>12</v>
      </c>
      <c r="F382" s="256" t="s">
        <v>258</v>
      </c>
      <c r="G382" s="490">
        <v>86408000</v>
      </c>
      <c r="H382" s="238">
        <v>72878297</v>
      </c>
      <c r="I382" s="238"/>
      <c r="J382" s="518"/>
      <c r="K382" s="238">
        <f>J382-H382</f>
        <v>-72878297</v>
      </c>
      <c r="L382" s="241"/>
      <c r="M382" s="241"/>
      <c r="N382" s="240"/>
      <c r="O382" s="210"/>
      <c r="P382" s="210"/>
      <c r="Q382" s="210"/>
    </row>
    <row r="383" spans="1:17" ht="13.5" thickBot="1">
      <c r="A383" s="128">
        <v>56000</v>
      </c>
      <c r="B383" s="129">
        <v>751</v>
      </c>
      <c r="C383" s="129">
        <v>12</v>
      </c>
      <c r="D383" s="129">
        <v>15</v>
      </c>
      <c r="E383" s="129">
        <v>12</v>
      </c>
      <c r="F383" s="256" t="s">
        <v>259</v>
      </c>
      <c r="G383" s="490"/>
      <c r="H383" s="238"/>
      <c r="I383" s="238" t="s">
        <v>1</v>
      </c>
      <c r="J383" s="518"/>
      <c r="K383" s="238"/>
      <c r="L383" s="241"/>
      <c r="M383" s="241"/>
      <c r="N383" s="240"/>
      <c r="O383" s="210"/>
      <c r="P383" s="210"/>
      <c r="Q383" s="210"/>
    </row>
    <row r="384" spans="1:17" ht="26.25" thickBot="1">
      <c r="F384" s="274" t="s">
        <v>296</v>
      </c>
      <c r="G384" s="265">
        <v>86408000</v>
      </c>
      <c r="H384" s="245">
        <v>72878297</v>
      </c>
      <c r="I384" s="245">
        <f>SUM(I380:I383)</f>
        <v>0</v>
      </c>
      <c r="J384" s="541">
        <f>SUM(J380:J383)</f>
        <v>0</v>
      </c>
      <c r="K384" s="245">
        <f t="shared" ref="K384:Q384" si="59">SUM(K380:K383)</f>
        <v>-72878297</v>
      </c>
      <c r="L384" s="474">
        <f t="shared" si="59"/>
        <v>0</v>
      </c>
      <c r="M384" s="245">
        <f t="shared" si="59"/>
        <v>0</v>
      </c>
      <c r="N384" s="265">
        <f t="shared" si="59"/>
        <v>0</v>
      </c>
      <c r="O384" s="245">
        <f t="shared" si="59"/>
        <v>0</v>
      </c>
      <c r="P384" s="245">
        <f t="shared" si="59"/>
        <v>0</v>
      </c>
      <c r="Q384" s="245">
        <f t="shared" si="59"/>
        <v>0</v>
      </c>
    </row>
    <row r="385" spans="1:17">
      <c r="F385" s="256"/>
      <c r="G385" s="490"/>
      <c r="H385" s="238"/>
      <c r="I385" s="238" t="s">
        <v>1</v>
      </c>
      <c r="J385" s="521"/>
      <c r="K385" s="238"/>
      <c r="L385" s="241"/>
      <c r="M385" s="241"/>
      <c r="N385" s="240"/>
      <c r="O385" s="210"/>
      <c r="P385" s="210"/>
      <c r="Q385" s="210"/>
    </row>
    <row r="386" spans="1:17" ht="25.5">
      <c r="F386" s="255" t="s">
        <v>295</v>
      </c>
      <c r="G386" s="490"/>
      <c r="H386" s="238"/>
      <c r="I386" s="238" t="s">
        <v>1</v>
      </c>
      <c r="J386" s="538"/>
      <c r="K386" s="238"/>
      <c r="L386" s="241">
        <f>SUM(J386:J386)</f>
        <v>0</v>
      </c>
      <c r="M386" s="241" t="e">
        <f>#REF!-#REF!</f>
        <v>#REF!</v>
      </c>
      <c r="N386" s="240"/>
      <c r="O386" s="210"/>
      <c r="P386" s="210"/>
      <c r="Q386" s="210"/>
    </row>
    <row r="387" spans="1:17">
      <c r="A387" s="128">
        <v>56039</v>
      </c>
      <c r="B387" s="130" t="s">
        <v>196</v>
      </c>
      <c r="C387" s="129">
        <v>12</v>
      </c>
      <c r="D387" s="130" t="s">
        <v>215</v>
      </c>
      <c r="E387" s="130" t="s">
        <v>208</v>
      </c>
      <c r="F387" s="256" t="s">
        <v>20</v>
      </c>
      <c r="G387" s="361">
        <v>174335000</v>
      </c>
      <c r="H387" s="238">
        <v>160000000</v>
      </c>
      <c r="I387" s="330">
        <v>131495082.11</v>
      </c>
      <c r="J387" s="521">
        <v>162000000</v>
      </c>
      <c r="K387" s="238">
        <f t="shared" ref="K387:K398" si="60">J387-H387</f>
        <v>2000000</v>
      </c>
      <c r="L387" s="241">
        <f>SUM(J387:J387)</f>
        <v>162000000</v>
      </c>
      <c r="M387" s="241" t="e">
        <f>#REF!-#REF!</f>
        <v>#REF!</v>
      </c>
      <c r="N387" s="240"/>
      <c r="O387" s="210">
        <v>160000000</v>
      </c>
      <c r="P387" s="210">
        <v>160000000</v>
      </c>
      <c r="Q387" s="210">
        <v>160000000</v>
      </c>
    </row>
    <row r="388" spans="1:17">
      <c r="A388" s="128">
        <v>56039</v>
      </c>
      <c r="B388" s="130" t="s">
        <v>196</v>
      </c>
      <c r="C388" s="129">
        <v>12</v>
      </c>
      <c r="D388" s="130" t="s">
        <v>215</v>
      </c>
      <c r="E388" s="130" t="s">
        <v>215</v>
      </c>
      <c r="F388" s="256" t="s">
        <v>21</v>
      </c>
      <c r="G388" s="361">
        <v>680000000</v>
      </c>
      <c r="H388" s="238">
        <v>580000000</v>
      </c>
      <c r="I388" s="330">
        <v>32164203.07</v>
      </c>
      <c r="J388" s="521">
        <v>480000000</v>
      </c>
      <c r="K388" s="238">
        <f t="shared" si="60"/>
        <v>-100000000</v>
      </c>
      <c r="L388" s="241">
        <f>SUM(J388:J388)</f>
        <v>480000000</v>
      </c>
      <c r="M388" s="241" t="e">
        <f>#REF!-#REF!</f>
        <v>#REF!</v>
      </c>
      <c r="N388" s="240"/>
      <c r="O388" s="210">
        <v>480000000</v>
      </c>
      <c r="P388" s="210">
        <v>480000000</v>
      </c>
      <c r="Q388" s="210">
        <v>480000000</v>
      </c>
    </row>
    <row r="389" spans="1:17" ht="25.5">
      <c r="A389" s="128">
        <v>56039</v>
      </c>
      <c r="B389" s="130" t="s">
        <v>196</v>
      </c>
      <c r="C389" s="129">
        <v>12</v>
      </c>
      <c r="D389" s="130" t="s">
        <v>215</v>
      </c>
      <c r="E389" s="130" t="s">
        <v>207</v>
      </c>
      <c r="F389" s="272" t="s">
        <v>22</v>
      </c>
      <c r="G389" s="361"/>
      <c r="H389" s="238">
        <v>300000</v>
      </c>
      <c r="I389" s="330">
        <v>798860</v>
      </c>
      <c r="J389" s="521"/>
      <c r="K389" s="238">
        <f t="shared" si="60"/>
        <v>-300000</v>
      </c>
      <c r="L389" s="241">
        <f>SUM(J389:J389)</f>
        <v>0</v>
      </c>
      <c r="M389" s="241" t="e">
        <f>#REF!-#REF!</f>
        <v>#REF!</v>
      </c>
      <c r="N389" s="240"/>
      <c r="O389" s="210"/>
      <c r="P389" s="210"/>
      <c r="Q389" s="210"/>
    </row>
    <row r="390" spans="1:17" ht="25.5">
      <c r="A390" s="128">
        <v>56039</v>
      </c>
      <c r="B390" s="130" t="s">
        <v>196</v>
      </c>
      <c r="C390" s="129">
        <v>12</v>
      </c>
      <c r="D390" s="130" t="s">
        <v>215</v>
      </c>
      <c r="E390" s="130" t="s">
        <v>221</v>
      </c>
      <c r="F390" s="272" t="s">
        <v>23</v>
      </c>
      <c r="G390" s="361">
        <v>4000000</v>
      </c>
      <c r="H390" s="238">
        <v>2100000</v>
      </c>
      <c r="I390" s="330"/>
      <c r="J390" s="521">
        <v>2500000</v>
      </c>
      <c r="K390" s="238">
        <f t="shared" si="60"/>
        <v>400000</v>
      </c>
      <c r="L390" s="241">
        <f>SUM(J390:J390)</f>
        <v>2500000</v>
      </c>
      <c r="M390" s="241" t="e">
        <f>#REF!-#REF!</f>
        <v>#REF!</v>
      </c>
      <c r="N390" s="240"/>
      <c r="O390" s="210">
        <v>3000000</v>
      </c>
      <c r="P390" s="210">
        <v>3000000</v>
      </c>
      <c r="Q390" s="210">
        <v>3000000</v>
      </c>
    </row>
    <row r="391" spans="1:17">
      <c r="A391" s="128">
        <v>56039</v>
      </c>
      <c r="B391" s="130" t="s">
        <v>196</v>
      </c>
      <c r="C391" s="129">
        <v>12</v>
      </c>
      <c r="D391" s="130" t="s">
        <v>215</v>
      </c>
      <c r="E391" s="130" t="s">
        <v>209</v>
      </c>
      <c r="F391" s="256" t="s">
        <v>24</v>
      </c>
      <c r="G391" s="361"/>
      <c r="H391" s="238"/>
      <c r="I391" s="330"/>
      <c r="J391" s="521"/>
      <c r="K391" s="238">
        <f t="shared" si="60"/>
        <v>0</v>
      </c>
      <c r="L391" s="241"/>
      <c r="M391" s="241"/>
      <c r="N391" s="240"/>
      <c r="O391" s="210"/>
      <c r="P391" s="210"/>
      <c r="Q391" s="210"/>
    </row>
    <row r="392" spans="1:17">
      <c r="A392" s="128">
        <v>56039</v>
      </c>
      <c r="B392" s="130" t="s">
        <v>196</v>
      </c>
      <c r="C392" s="129">
        <v>12</v>
      </c>
      <c r="D392" s="130" t="s">
        <v>215</v>
      </c>
      <c r="E392" s="130" t="s">
        <v>200</v>
      </c>
      <c r="F392" s="256" t="s">
        <v>25</v>
      </c>
      <c r="G392" s="361">
        <v>13976000</v>
      </c>
      <c r="H392" s="238">
        <v>29250000</v>
      </c>
      <c r="I392" s="330">
        <v>47651123.520000003</v>
      </c>
      <c r="J392" s="521">
        <v>30000000</v>
      </c>
      <c r="K392" s="238">
        <f t="shared" si="60"/>
        <v>750000</v>
      </c>
      <c r="L392" s="241">
        <f>SUM(L379:L391)</f>
        <v>644500000</v>
      </c>
      <c r="M392" s="241" t="e">
        <f>+SUM(M379:M390)</f>
        <v>#REF!</v>
      </c>
      <c r="N392" s="240"/>
      <c r="O392" s="210">
        <v>32000000</v>
      </c>
      <c r="P392" s="210">
        <v>33000000</v>
      </c>
      <c r="Q392" s="210">
        <v>33000000</v>
      </c>
    </row>
    <row r="393" spans="1:17">
      <c r="A393" s="128">
        <v>56039</v>
      </c>
      <c r="B393" s="130" t="s">
        <v>196</v>
      </c>
      <c r="C393" s="129">
        <v>12</v>
      </c>
      <c r="D393" s="130" t="s">
        <v>215</v>
      </c>
      <c r="E393" s="130" t="s">
        <v>203</v>
      </c>
      <c r="F393" s="256" t="s">
        <v>26</v>
      </c>
      <c r="G393" s="361">
        <v>23908000</v>
      </c>
      <c r="H393" s="238">
        <v>29000000</v>
      </c>
      <c r="I393" s="330">
        <v>8031368</v>
      </c>
      <c r="J393" s="521">
        <v>29000000</v>
      </c>
      <c r="K393" s="238">
        <f t="shared" si="60"/>
        <v>0</v>
      </c>
      <c r="L393" s="241"/>
      <c r="M393" s="241"/>
      <c r="N393" s="240"/>
      <c r="O393" s="210">
        <v>29000000</v>
      </c>
      <c r="P393" s="210">
        <v>29000000</v>
      </c>
      <c r="Q393" s="210">
        <v>29000000</v>
      </c>
    </row>
    <row r="394" spans="1:17" ht="25.5">
      <c r="A394" s="128">
        <v>56039</v>
      </c>
      <c r="B394" s="130" t="s">
        <v>196</v>
      </c>
      <c r="C394" s="129">
        <v>12</v>
      </c>
      <c r="D394" s="130" t="s">
        <v>215</v>
      </c>
      <c r="E394" s="130" t="s">
        <v>226</v>
      </c>
      <c r="F394" s="256" t="s">
        <v>524</v>
      </c>
      <c r="G394" s="361">
        <v>30500000</v>
      </c>
      <c r="H394" s="238">
        <v>11000000</v>
      </c>
      <c r="I394" s="330"/>
      <c r="J394" s="515">
        <v>18000000</v>
      </c>
      <c r="K394" s="238">
        <f t="shared" si="60"/>
        <v>7000000</v>
      </c>
      <c r="L394" s="241"/>
      <c r="M394" s="241" t="e">
        <f>SUM(M338,M360,M375,M392,)</f>
        <v>#REF!</v>
      </c>
      <c r="N394" s="240"/>
      <c r="O394" s="210">
        <v>25000000</v>
      </c>
      <c r="P394" s="210">
        <v>25000000</v>
      </c>
      <c r="Q394" s="210">
        <v>25000000</v>
      </c>
    </row>
    <row r="395" spans="1:17">
      <c r="A395" s="128">
        <v>56039</v>
      </c>
      <c r="B395" s="130" t="s">
        <v>196</v>
      </c>
      <c r="C395" s="129">
        <v>12</v>
      </c>
      <c r="D395" s="130" t="s">
        <v>215</v>
      </c>
      <c r="E395" s="130"/>
      <c r="F395" s="256" t="s">
        <v>520</v>
      </c>
      <c r="G395" s="361">
        <v>28960000</v>
      </c>
      <c r="H395" s="238">
        <v>15000000</v>
      </c>
      <c r="I395" s="330">
        <v>2897720</v>
      </c>
      <c r="J395" s="521">
        <v>15000000</v>
      </c>
      <c r="K395" s="238">
        <f t="shared" si="60"/>
        <v>0</v>
      </c>
      <c r="L395" s="241"/>
      <c r="M395" s="241"/>
      <c r="N395" s="240"/>
      <c r="O395" s="210">
        <v>15000000</v>
      </c>
      <c r="P395" s="210">
        <v>15000000</v>
      </c>
      <c r="Q395" s="210">
        <v>15000000</v>
      </c>
    </row>
    <row r="396" spans="1:17">
      <c r="A396" s="128">
        <v>56039</v>
      </c>
      <c r="B396" s="130" t="s">
        <v>196</v>
      </c>
      <c r="C396" s="129">
        <v>12</v>
      </c>
      <c r="D396" s="130" t="s">
        <v>215</v>
      </c>
      <c r="E396" s="129">
        <v>99</v>
      </c>
      <c r="F396" s="256" t="s">
        <v>27</v>
      </c>
      <c r="G396" s="361">
        <v>10000000</v>
      </c>
      <c r="H396" s="238">
        <v>8000000</v>
      </c>
      <c r="I396" s="330">
        <v>4197347.92</v>
      </c>
      <c r="J396" s="521">
        <v>8000000</v>
      </c>
      <c r="K396" s="238">
        <f t="shared" si="60"/>
        <v>0</v>
      </c>
      <c r="L396" s="241"/>
      <c r="M396" s="241"/>
      <c r="N396" s="240"/>
      <c r="O396" s="210">
        <v>8000000</v>
      </c>
      <c r="P396" s="210">
        <v>8000000</v>
      </c>
      <c r="Q396" s="210">
        <v>8000000</v>
      </c>
    </row>
    <row r="397" spans="1:17" ht="25.5">
      <c r="A397" s="128">
        <v>56039</v>
      </c>
      <c r="B397" s="130" t="s">
        <v>196</v>
      </c>
      <c r="C397" s="129">
        <v>12</v>
      </c>
      <c r="D397" s="129">
        <v>15</v>
      </c>
      <c r="E397" s="130" t="s">
        <v>221</v>
      </c>
      <c r="F397" s="272" t="s">
        <v>28</v>
      </c>
      <c r="G397" s="361">
        <v>5500000</v>
      </c>
      <c r="H397" s="238">
        <v>6300000</v>
      </c>
      <c r="I397" s="330">
        <v>1501309.59</v>
      </c>
      <c r="J397" s="521">
        <v>6500000</v>
      </c>
      <c r="K397" s="238">
        <f t="shared" si="60"/>
        <v>200000</v>
      </c>
      <c r="L397" s="241"/>
      <c r="M397" s="241"/>
      <c r="N397" s="240"/>
      <c r="O397" s="210">
        <v>7000000</v>
      </c>
      <c r="P397" s="210">
        <v>7000000</v>
      </c>
      <c r="Q397" s="210">
        <v>7000000</v>
      </c>
    </row>
    <row r="398" spans="1:17" ht="38.25">
      <c r="A398" s="128">
        <v>56039</v>
      </c>
      <c r="B398" s="130" t="s">
        <v>196</v>
      </c>
      <c r="C398" s="129">
        <v>12</v>
      </c>
      <c r="D398" s="129">
        <v>15</v>
      </c>
      <c r="E398" s="130" t="s">
        <v>209</v>
      </c>
      <c r="F398" s="272" t="s">
        <v>29</v>
      </c>
      <c r="G398" s="361">
        <v>120167000</v>
      </c>
      <c r="H398" s="238">
        <v>120000000</v>
      </c>
      <c r="I398" s="330">
        <v>7927109</v>
      </c>
      <c r="J398" s="515">
        <v>170000000</v>
      </c>
      <c r="K398" s="238">
        <f t="shared" si="60"/>
        <v>50000000</v>
      </c>
      <c r="L398" s="241"/>
      <c r="M398" s="241"/>
      <c r="N398" s="240"/>
      <c r="O398" s="210">
        <v>170000000</v>
      </c>
      <c r="P398" s="210">
        <v>170000000</v>
      </c>
      <c r="Q398" s="210">
        <v>170000000</v>
      </c>
    </row>
    <row r="399" spans="1:17" ht="39" thickBot="1">
      <c r="A399" s="128">
        <v>56039</v>
      </c>
      <c r="B399" s="130" t="s">
        <v>196</v>
      </c>
      <c r="C399" s="129">
        <v>12</v>
      </c>
      <c r="D399" s="129">
        <v>15</v>
      </c>
      <c r="E399" s="130" t="s">
        <v>200</v>
      </c>
      <c r="F399" s="272" t="s">
        <v>337</v>
      </c>
      <c r="G399" s="490">
        <v>0</v>
      </c>
      <c r="H399" s="238"/>
      <c r="I399" s="330" t="s">
        <v>1</v>
      </c>
      <c r="J399" s="559"/>
      <c r="K399" s="238"/>
      <c r="L399" s="241"/>
      <c r="M399" s="241"/>
      <c r="N399" s="240"/>
      <c r="O399" s="210"/>
      <c r="P399" s="210"/>
      <c r="Q399" s="210"/>
    </row>
    <row r="400" spans="1:17" ht="26.25" thickBot="1">
      <c r="F400" s="274" t="s">
        <v>297</v>
      </c>
      <c r="G400" s="265">
        <v>1091346000</v>
      </c>
      <c r="H400" s="245">
        <v>960950000</v>
      </c>
      <c r="I400" s="339">
        <f>SUM(I387:I399)</f>
        <v>236664123.21000001</v>
      </c>
      <c r="J400" s="541">
        <f>SUM(J387:J399)</f>
        <v>921000000</v>
      </c>
      <c r="K400" s="245">
        <f t="shared" ref="K400:Q400" si="61">SUM(K387:K399)</f>
        <v>-39950000</v>
      </c>
      <c r="L400" s="474">
        <f t="shared" si="61"/>
        <v>1289000000</v>
      </c>
      <c r="M400" s="245" t="e">
        <f t="shared" si="61"/>
        <v>#REF!</v>
      </c>
      <c r="N400" s="265">
        <f t="shared" si="61"/>
        <v>0</v>
      </c>
      <c r="O400" s="245">
        <f t="shared" si="61"/>
        <v>929000000</v>
      </c>
      <c r="P400" s="245">
        <f t="shared" si="61"/>
        <v>930000000</v>
      </c>
      <c r="Q400" s="245">
        <f t="shared" si="61"/>
        <v>930000000</v>
      </c>
    </row>
    <row r="401" spans="1:17">
      <c r="F401" s="256"/>
      <c r="G401" s="490"/>
      <c r="H401" s="238"/>
      <c r="I401" s="238" t="str">
        <f>[1]new!U361</f>
        <v xml:space="preserve"> </v>
      </c>
      <c r="J401" s="521"/>
      <c r="K401" s="238"/>
      <c r="L401" s="241"/>
      <c r="M401" s="241"/>
      <c r="N401" s="240"/>
      <c r="O401" s="210"/>
      <c r="P401" s="210"/>
      <c r="Q401" s="210"/>
    </row>
    <row r="402" spans="1:17">
      <c r="F402" s="255" t="s">
        <v>300</v>
      </c>
      <c r="G402" s="490"/>
      <c r="H402" s="238"/>
      <c r="I402" s="238" t="s">
        <v>1</v>
      </c>
      <c r="J402" s="538"/>
      <c r="K402" s="238"/>
      <c r="L402" s="241">
        <f>SUM(J402:J402)</f>
        <v>0</v>
      </c>
      <c r="M402" s="241" t="e">
        <f>#REF!-#REF!</f>
        <v>#REF!</v>
      </c>
      <c r="N402" s="240"/>
      <c r="O402" s="210"/>
      <c r="P402" s="210"/>
      <c r="Q402" s="210"/>
    </row>
    <row r="403" spans="1:17">
      <c r="A403" s="128">
        <v>68000</v>
      </c>
      <c r="B403" s="130" t="s">
        <v>196</v>
      </c>
      <c r="C403" s="129">
        <v>12</v>
      </c>
      <c r="D403" s="129">
        <v>16</v>
      </c>
      <c r="E403" s="138" t="s">
        <v>221</v>
      </c>
      <c r="F403" s="272" t="s">
        <v>235</v>
      </c>
      <c r="G403" s="361">
        <v>60000</v>
      </c>
      <c r="H403" s="238">
        <v>27000</v>
      </c>
      <c r="I403" s="238"/>
      <c r="J403" s="521"/>
      <c r="K403" s="238">
        <f t="shared" ref="K403:K408" si="62">J403-H403</f>
        <v>-27000</v>
      </c>
      <c r="L403" s="241">
        <f>SUM(J403:J403)</f>
        <v>0</v>
      </c>
      <c r="M403" s="241" t="e">
        <f>#REF!-#REF!</f>
        <v>#REF!</v>
      </c>
      <c r="N403" s="240"/>
      <c r="O403" s="210"/>
      <c r="P403" s="210"/>
      <c r="Q403" s="210"/>
    </row>
    <row r="404" spans="1:17">
      <c r="A404" s="128">
        <v>68000</v>
      </c>
      <c r="B404" s="130" t="s">
        <v>196</v>
      </c>
      <c r="C404" s="129">
        <v>12</v>
      </c>
      <c r="D404" s="129">
        <v>99</v>
      </c>
      <c r="E404" s="129">
        <v>99</v>
      </c>
      <c r="F404" s="256" t="s">
        <v>134</v>
      </c>
      <c r="G404" s="361">
        <v>147000</v>
      </c>
      <c r="H404" s="238">
        <v>13000</v>
      </c>
      <c r="I404" s="330">
        <v>23708</v>
      </c>
      <c r="J404" s="521"/>
      <c r="K404" s="238">
        <f t="shared" si="62"/>
        <v>-13000</v>
      </c>
      <c r="L404" s="241">
        <f>SUM(J404:J404)</f>
        <v>0</v>
      </c>
      <c r="M404" s="241" t="e">
        <f>#REF!-#REF!</f>
        <v>#REF!</v>
      </c>
      <c r="N404" s="240"/>
      <c r="O404" s="210"/>
      <c r="P404" s="210"/>
      <c r="Q404" s="210"/>
    </row>
    <row r="405" spans="1:17">
      <c r="A405" s="128">
        <v>68000</v>
      </c>
      <c r="B405" s="130" t="s">
        <v>196</v>
      </c>
      <c r="C405" s="129">
        <v>12</v>
      </c>
      <c r="D405" s="129">
        <v>99</v>
      </c>
      <c r="E405" s="129">
        <v>99</v>
      </c>
      <c r="F405" s="256" t="s">
        <v>191</v>
      </c>
      <c r="G405" s="361">
        <v>19000</v>
      </c>
      <c r="H405" s="238">
        <v>125000</v>
      </c>
      <c r="I405" s="330">
        <v>14935310.41</v>
      </c>
      <c r="J405" s="521"/>
      <c r="K405" s="238">
        <f t="shared" si="62"/>
        <v>-125000</v>
      </c>
      <c r="L405" s="241">
        <f>SUM(J405:J405)</f>
        <v>0</v>
      </c>
      <c r="M405" s="241" t="e">
        <f>#REF!-#REF!</f>
        <v>#REF!</v>
      </c>
      <c r="N405" s="240"/>
      <c r="O405" s="210"/>
      <c r="P405" s="210"/>
      <c r="Q405" s="210"/>
    </row>
    <row r="406" spans="1:17">
      <c r="A406" s="128">
        <v>68000</v>
      </c>
      <c r="B406" s="130" t="s">
        <v>196</v>
      </c>
      <c r="C406" s="129">
        <v>12</v>
      </c>
      <c r="D406" s="129">
        <v>10</v>
      </c>
      <c r="E406" s="130" t="s">
        <v>200</v>
      </c>
      <c r="F406" s="256" t="s">
        <v>137</v>
      </c>
      <c r="G406" s="361"/>
      <c r="H406" s="238"/>
      <c r="I406" s="330"/>
      <c r="J406" s="521"/>
      <c r="K406" s="238">
        <f t="shared" si="62"/>
        <v>0</v>
      </c>
      <c r="L406" s="241">
        <f>SUM(L400:L405)</f>
        <v>1289000000</v>
      </c>
      <c r="M406" s="241" t="e">
        <f>SUM(M400:M405)</f>
        <v>#REF!</v>
      </c>
      <c r="N406" s="240"/>
      <c r="O406" s="210"/>
      <c r="P406" s="210"/>
      <c r="Q406" s="210"/>
    </row>
    <row r="407" spans="1:17">
      <c r="A407" s="128">
        <v>68000</v>
      </c>
      <c r="B407" s="130" t="s">
        <v>196</v>
      </c>
      <c r="C407" s="129">
        <v>12</v>
      </c>
      <c r="D407" s="129">
        <v>17</v>
      </c>
      <c r="E407" s="129">
        <v>18</v>
      </c>
      <c r="F407" s="256" t="s">
        <v>236</v>
      </c>
      <c r="G407" s="361"/>
      <c r="H407" s="238"/>
      <c r="I407" s="330"/>
      <c r="J407" s="521"/>
      <c r="K407" s="238">
        <f t="shared" si="62"/>
        <v>0</v>
      </c>
      <c r="L407" s="241"/>
      <c r="M407" s="241"/>
      <c r="N407" s="240"/>
      <c r="O407" s="210"/>
      <c r="P407" s="210"/>
      <c r="Q407" s="210"/>
    </row>
    <row r="408" spans="1:17" ht="13.5" thickBot="1">
      <c r="A408" s="128">
        <v>68000</v>
      </c>
      <c r="B408" s="130" t="s">
        <v>196</v>
      </c>
      <c r="C408" s="129">
        <v>12</v>
      </c>
      <c r="D408" s="129">
        <v>24</v>
      </c>
      <c r="F408" s="256" t="s">
        <v>513</v>
      </c>
      <c r="G408" s="361">
        <v>6565911887</v>
      </c>
      <c r="H408" s="238">
        <v>3126478000</v>
      </c>
      <c r="I408" s="330">
        <v>1816411253.1500001</v>
      </c>
      <c r="J408" s="521">
        <v>4495931702</v>
      </c>
      <c r="K408" s="238">
        <f t="shared" si="62"/>
        <v>1369453702</v>
      </c>
      <c r="L408" s="241"/>
      <c r="M408" s="241"/>
      <c r="N408" s="240"/>
      <c r="O408" s="210">
        <v>6047068439</v>
      </c>
      <c r="P408" s="210">
        <v>6047068439</v>
      </c>
      <c r="Q408" s="210">
        <v>6047068439</v>
      </c>
    </row>
    <row r="409" spans="1:17" ht="26.25" thickBot="1">
      <c r="F409" s="274" t="s">
        <v>301</v>
      </c>
      <c r="G409" s="265">
        <v>6566137887</v>
      </c>
      <c r="H409" s="245">
        <v>3126643000</v>
      </c>
      <c r="I409" s="339">
        <f>SUM(I403:I408)</f>
        <v>1831370271.5600002</v>
      </c>
      <c r="J409" s="541">
        <f>SUM(J403:J408)</f>
        <v>4495931702</v>
      </c>
      <c r="K409" s="245">
        <f t="shared" ref="K409:Q409" si="63">SUM(K403:K408)</f>
        <v>1369288702</v>
      </c>
      <c r="L409" s="474">
        <f t="shared" si="63"/>
        <v>1289000000</v>
      </c>
      <c r="M409" s="245" t="e">
        <f t="shared" si="63"/>
        <v>#REF!</v>
      </c>
      <c r="N409" s="265">
        <f t="shared" si="63"/>
        <v>0</v>
      </c>
      <c r="O409" s="245">
        <f t="shared" si="63"/>
        <v>6047068439</v>
      </c>
      <c r="P409" s="245">
        <f t="shared" si="63"/>
        <v>6047068439</v>
      </c>
      <c r="Q409" s="245">
        <f t="shared" si="63"/>
        <v>6047068439</v>
      </c>
    </row>
    <row r="410" spans="1:17">
      <c r="F410" s="256"/>
      <c r="G410" s="490"/>
      <c r="H410" s="238"/>
      <c r="I410" s="238" t="s">
        <v>1</v>
      </c>
      <c r="J410" s="521"/>
      <c r="K410" s="238"/>
      <c r="L410" s="241"/>
      <c r="M410" s="241"/>
      <c r="N410" s="240"/>
      <c r="O410" s="210"/>
      <c r="P410" s="210"/>
      <c r="Q410" s="210"/>
    </row>
    <row r="411" spans="1:17">
      <c r="F411" s="255" t="s">
        <v>302</v>
      </c>
      <c r="G411" s="490"/>
      <c r="H411" s="238"/>
      <c r="I411" s="238" t="s">
        <v>1</v>
      </c>
      <c r="J411" s="538"/>
      <c r="K411" s="238"/>
      <c r="L411" s="241"/>
      <c r="M411" s="241"/>
      <c r="N411" s="240"/>
      <c r="O411" s="210"/>
      <c r="P411" s="210"/>
      <c r="Q411" s="210"/>
    </row>
    <row r="412" spans="1:17">
      <c r="A412" s="128">
        <v>68000</v>
      </c>
      <c r="B412" s="129">
        <v>577</v>
      </c>
      <c r="C412" s="129">
        <v>12</v>
      </c>
      <c r="F412" s="256" t="s">
        <v>502</v>
      </c>
      <c r="G412" s="361"/>
      <c r="H412" s="238"/>
      <c r="I412" s="238" t="s">
        <v>1</v>
      </c>
      <c r="J412" s="538"/>
      <c r="K412" s="238"/>
      <c r="L412" s="241"/>
      <c r="M412" s="241"/>
      <c r="N412" s="240"/>
      <c r="O412" s="210"/>
      <c r="P412" s="210"/>
      <c r="Q412" s="210"/>
    </row>
    <row r="413" spans="1:17">
      <c r="A413" s="128">
        <v>68000</v>
      </c>
      <c r="B413" s="129">
        <v>577</v>
      </c>
      <c r="C413" s="129">
        <v>12</v>
      </c>
      <c r="D413" s="129">
        <v>8</v>
      </c>
      <c r="E413" s="129">
        <v>14</v>
      </c>
      <c r="F413" s="256" t="s">
        <v>518</v>
      </c>
      <c r="G413" s="361"/>
      <c r="H413" s="238"/>
      <c r="I413" s="238" t="s">
        <v>1</v>
      </c>
      <c r="J413" s="538"/>
      <c r="K413" s="238"/>
      <c r="L413" s="241"/>
      <c r="M413" s="241"/>
      <c r="N413" s="240"/>
      <c r="O413" s="210"/>
      <c r="P413" s="210"/>
      <c r="Q413" s="210"/>
    </row>
    <row r="414" spans="1:17">
      <c r="A414" s="128">
        <v>68000</v>
      </c>
      <c r="B414" s="129">
        <v>577</v>
      </c>
      <c r="C414" s="129">
        <v>12</v>
      </c>
      <c r="D414" s="130" t="s">
        <v>226</v>
      </c>
      <c r="E414" s="136">
        <v>99</v>
      </c>
      <c r="F414" s="256" t="s">
        <v>122</v>
      </c>
      <c r="G414" s="361">
        <v>720000</v>
      </c>
      <c r="H414" s="238">
        <v>520000</v>
      </c>
      <c r="I414" s="238"/>
      <c r="J414" s="521">
        <v>860000</v>
      </c>
      <c r="K414" s="238">
        <f t="shared" ref="K414:K420" si="64">J414-H414</f>
        <v>340000</v>
      </c>
      <c r="L414" s="241">
        <f>SUM(J414:J414)</f>
        <v>860000</v>
      </c>
      <c r="M414" s="241" t="e">
        <f>#REF!-#REF!</f>
        <v>#REF!</v>
      </c>
      <c r="N414" s="240"/>
      <c r="O414" s="210">
        <v>850000</v>
      </c>
      <c r="P414" s="210">
        <v>855000</v>
      </c>
      <c r="Q414" s="210">
        <v>857000</v>
      </c>
    </row>
    <row r="415" spans="1:17">
      <c r="A415" s="128">
        <v>68000</v>
      </c>
      <c r="B415" s="129">
        <v>577</v>
      </c>
      <c r="C415" s="129">
        <v>12</v>
      </c>
      <c r="D415" s="129">
        <v>16</v>
      </c>
      <c r="E415" s="130" t="s">
        <v>208</v>
      </c>
      <c r="F415" s="256" t="s">
        <v>123</v>
      </c>
      <c r="G415" s="361">
        <v>12000000</v>
      </c>
      <c r="H415" s="238">
        <v>10000000</v>
      </c>
      <c r="I415" s="238"/>
      <c r="J415" s="521">
        <v>12000000</v>
      </c>
      <c r="K415" s="238">
        <f t="shared" si="64"/>
        <v>2000000</v>
      </c>
      <c r="L415" s="241"/>
      <c r="M415" s="241"/>
      <c r="N415" s="240"/>
      <c r="O415" s="210">
        <v>13000000</v>
      </c>
      <c r="P415" s="210">
        <v>13200000</v>
      </c>
      <c r="Q415" s="210">
        <v>14000000</v>
      </c>
    </row>
    <row r="416" spans="1:17">
      <c r="A416" s="128">
        <v>68000</v>
      </c>
      <c r="B416" s="129">
        <v>577</v>
      </c>
      <c r="C416" s="129">
        <v>12</v>
      </c>
      <c r="D416" s="129">
        <v>99</v>
      </c>
      <c r="E416" s="129">
        <v>99</v>
      </c>
      <c r="F416" s="256" t="s">
        <v>32</v>
      </c>
      <c r="G416" s="361">
        <v>8220000</v>
      </c>
      <c r="H416" s="238">
        <v>5020000</v>
      </c>
      <c r="I416" s="238"/>
      <c r="J416" s="521">
        <v>9360000</v>
      </c>
      <c r="K416" s="238">
        <f t="shared" si="64"/>
        <v>4340000</v>
      </c>
      <c r="L416" s="241">
        <f>SUM(L414:L415)</f>
        <v>860000</v>
      </c>
      <c r="M416" s="241" t="e">
        <f>SUM(M414:M415)</f>
        <v>#REF!</v>
      </c>
      <c r="N416" s="240"/>
      <c r="O416" s="210">
        <v>10030000</v>
      </c>
      <c r="P416" s="210">
        <v>10300000</v>
      </c>
      <c r="Q416" s="210">
        <v>10400000</v>
      </c>
    </row>
    <row r="417" spans="1:17">
      <c r="A417" s="128">
        <v>68000</v>
      </c>
      <c r="B417" s="129">
        <v>577</v>
      </c>
      <c r="C417" s="129">
        <v>12</v>
      </c>
      <c r="D417" s="130" t="s">
        <v>221</v>
      </c>
      <c r="E417" s="130" t="s">
        <v>208</v>
      </c>
      <c r="F417" s="256" t="s">
        <v>237</v>
      </c>
      <c r="G417" s="361">
        <v>560000000</v>
      </c>
      <c r="H417" s="238">
        <v>519000000</v>
      </c>
      <c r="I417" s="330">
        <v>553975799.19000006</v>
      </c>
      <c r="J417" s="521">
        <f>500000000+380208000</f>
        <v>880208000</v>
      </c>
      <c r="K417" s="238">
        <f t="shared" si="64"/>
        <v>361208000</v>
      </c>
      <c r="L417" s="241"/>
      <c r="M417" s="241"/>
      <c r="N417" s="240"/>
      <c r="O417" s="210">
        <v>500000000</v>
      </c>
      <c r="P417" s="210">
        <v>515000000</v>
      </c>
      <c r="Q417" s="210">
        <v>545000000</v>
      </c>
    </row>
    <row r="418" spans="1:17">
      <c r="A418" s="128">
        <v>68000</v>
      </c>
      <c r="B418" s="129">
        <v>577</v>
      </c>
      <c r="C418" s="129">
        <v>12</v>
      </c>
      <c r="D418" s="130" t="s">
        <v>221</v>
      </c>
      <c r="E418" s="130" t="s">
        <v>207</v>
      </c>
      <c r="F418" s="256" t="s">
        <v>312</v>
      </c>
      <c r="G418" s="361">
        <v>40000000</v>
      </c>
      <c r="H418" s="238">
        <v>31000000</v>
      </c>
      <c r="I418" s="330">
        <v>8504795.5800000001</v>
      </c>
      <c r="J418" s="521">
        <v>22000000</v>
      </c>
      <c r="K418" s="238">
        <f t="shared" si="64"/>
        <v>-9000000</v>
      </c>
      <c r="L418" s="241"/>
      <c r="M418" s="241"/>
      <c r="N418" s="240"/>
      <c r="O418" s="210">
        <v>33000000</v>
      </c>
      <c r="P418" s="210">
        <v>35500000</v>
      </c>
      <c r="Q418" s="210">
        <v>36000000</v>
      </c>
    </row>
    <row r="419" spans="1:17">
      <c r="A419" s="128">
        <v>68000</v>
      </c>
      <c r="B419" s="129">
        <v>577</v>
      </c>
      <c r="C419" s="129">
        <v>12</v>
      </c>
      <c r="D419" s="130" t="s">
        <v>221</v>
      </c>
      <c r="E419" s="130" t="s">
        <v>221</v>
      </c>
      <c r="F419" s="256" t="s">
        <v>313</v>
      </c>
      <c r="G419" s="361"/>
      <c r="H419" s="238"/>
      <c r="I419" s="330">
        <v>293897.24</v>
      </c>
      <c r="J419" s="521"/>
      <c r="K419" s="238">
        <f t="shared" si="64"/>
        <v>0</v>
      </c>
      <c r="L419" s="241"/>
      <c r="M419" s="241"/>
      <c r="N419" s="240"/>
      <c r="O419" s="210"/>
      <c r="P419" s="210"/>
      <c r="Q419" s="210"/>
    </row>
    <row r="420" spans="1:17" ht="13.5" thickBot="1">
      <c r="A420" s="128">
        <v>68000</v>
      </c>
      <c r="B420" s="129">
        <v>577</v>
      </c>
      <c r="C420" s="129">
        <v>12</v>
      </c>
      <c r="D420" s="130">
        <v>99</v>
      </c>
      <c r="E420" s="130">
        <v>99</v>
      </c>
      <c r="F420" s="256" t="s">
        <v>501</v>
      </c>
      <c r="G420" s="361">
        <v>800000</v>
      </c>
      <c r="H420" s="238">
        <v>850000</v>
      </c>
      <c r="I420" s="330">
        <v>476200.25</v>
      </c>
      <c r="J420" s="521">
        <v>820000</v>
      </c>
      <c r="K420" s="238">
        <f t="shared" si="64"/>
        <v>-30000</v>
      </c>
      <c r="L420" s="241"/>
      <c r="M420" s="241"/>
      <c r="N420" s="240"/>
      <c r="O420" s="210">
        <v>850000</v>
      </c>
      <c r="P420" s="210">
        <v>855000</v>
      </c>
      <c r="Q420" s="210">
        <v>800000</v>
      </c>
    </row>
    <row r="421" spans="1:17" ht="13.5" thickBot="1">
      <c r="F421" s="274" t="s">
        <v>303</v>
      </c>
      <c r="G421" s="265">
        <v>621740000</v>
      </c>
      <c r="H421" s="342">
        <v>566390000</v>
      </c>
      <c r="I421" s="362">
        <f>SUM(I412:I420)</f>
        <v>563250692.26000011</v>
      </c>
      <c r="J421" s="541">
        <f>SUM(J412:J420)</f>
        <v>925248000</v>
      </c>
      <c r="K421" s="342">
        <f t="shared" ref="K421:Q421" si="65">SUM(K412:K420)</f>
        <v>358858000</v>
      </c>
      <c r="L421" s="480">
        <f t="shared" si="65"/>
        <v>1720000</v>
      </c>
      <c r="M421" s="342" t="e">
        <f t="shared" si="65"/>
        <v>#REF!</v>
      </c>
      <c r="N421" s="350">
        <f t="shared" si="65"/>
        <v>0</v>
      </c>
      <c r="O421" s="342">
        <f t="shared" si="65"/>
        <v>557730000</v>
      </c>
      <c r="P421" s="342">
        <f t="shared" si="65"/>
        <v>575710000</v>
      </c>
      <c r="Q421" s="342">
        <f t="shared" si="65"/>
        <v>607057000</v>
      </c>
    </row>
    <row r="422" spans="1:17" s="374" customFormat="1">
      <c r="A422" s="375"/>
      <c r="B422" s="229"/>
      <c r="C422" s="229"/>
      <c r="D422" s="229"/>
      <c r="E422" s="229"/>
      <c r="F422" s="368"/>
      <c r="G422" s="493"/>
      <c r="H422" s="369"/>
      <c r="I422" s="369" t="str">
        <f>[1]new!U381</f>
        <v xml:space="preserve"> </v>
      </c>
      <c r="J422" s="560"/>
      <c r="K422" s="369"/>
      <c r="L422" s="371"/>
      <c r="M422" s="371"/>
      <c r="N422" s="372"/>
      <c r="O422" s="373"/>
      <c r="P422" s="373"/>
      <c r="Q422" s="373"/>
    </row>
    <row r="423" spans="1:17" ht="57" customHeight="1">
      <c r="F423" s="255" t="s">
        <v>574</v>
      </c>
      <c r="G423" s="490"/>
      <c r="H423" s="238"/>
      <c r="I423" s="238" t="s">
        <v>1</v>
      </c>
      <c r="J423" s="538"/>
      <c r="K423" s="238"/>
      <c r="L423" s="241"/>
      <c r="M423" s="241"/>
      <c r="N423" s="240"/>
      <c r="O423" s="210"/>
      <c r="P423" s="210"/>
      <c r="Q423" s="210"/>
    </row>
    <row r="424" spans="1:17">
      <c r="A424" s="128">
        <v>72000</v>
      </c>
      <c r="B424" s="129">
        <v>357</v>
      </c>
      <c r="C424" s="129">
        <v>12</v>
      </c>
      <c r="D424" s="129">
        <v>11</v>
      </c>
      <c r="E424" s="129">
        <v>40</v>
      </c>
      <c r="F424" s="256" t="s">
        <v>139</v>
      </c>
      <c r="G424" s="490">
        <v>0</v>
      </c>
      <c r="H424" s="238"/>
      <c r="I424" s="238" t="s">
        <v>1</v>
      </c>
      <c r="J424" s="538"/>
      <c r="K424" s="238"/>
      <c r="L424" s="241"/>
      <c r="M424" s="241"/>
      <c r="N424" s="240"/>
      <c r="O424" s="210"/>
      <c r="P424" s="210"/>
      <c r="Q424" s="210"/>
    </row>
    <row r="425" spans="1:17">
      <c r="A425" s="128">
        <v>72000</v>
      </c>
      <c r="B425" s="129">
        <v>357</v>
      </c>
      <c r="C425" s="129">
        <v>12</v>
      </c>
      <c r="D425" s="129">
        <v>16</v>
      </c>
      <c r="E425" s="130" t="s">
        <v>221</v>
      </c>
      <c r="F425" s="256" t="s">
        <v>141</v>
      </c>
      <c r="G425" s="361">
        <v>8000</v>
      </c>
      <c r="H425" s="238">
        <v>34000</v>
      </c>
      <c r="I425" s="238" t="s">
        <v>1</v>
      </c>
      <c r="J425" s="521"/>
      <c r="K425" s="238">
        <f t="shared" ref="K425:K430" si="66">J425-H425</f>
        <v>-34000</v>
      </c>
      <c r="L425" s="241"/>
      <c r="M425" s="241"/>
      <c r="N425" s="240"/>
      <c r="O425" s="210"/>
      <c r="P425" s="210"/>
      <c r="Q425" s="210"/>
    </row>
    <row r="426" spans="1:17">
      <c r="A426" s="128">
        <v>72000</v>
      </c>
      <c r="B426" s="129">
        <v>357</v>
      </c>
      <c r="C426" s="129">
        <v>12</v>
      </c>
      <c r="D426" s="129">
        <v>15</v>
      </c>
      <c r="E426" s="129">
        <v>52</v>
      </c>
      <c r="F426" s="256" t="s">
        <v>143</v>
      </c>
      <c r="G426" s="361"/>
      <c r="H426" s="238"/>
      <c r="I426" s="238" t="s">
        <v>1</v>
      </c>
      <c r="J426" s="521"/>
      <c r="K426" s="238">
        <f t="shared" si="66"/>
        <v>0</v>
      </c>
      <c r="L426" s="241"/>
      <c r="M426" s="241"/>
      <c r="N426" s="240"/>
      <c r="O426" s="210"/>
      <c r="P426" s="210"/>
      <c r="Q426" s="210"/>
    </row>
    <row r="427" spans="1:17">
      <c r="A427" s="128">
        <v>72000</v>
      </c>
      <c r="B427" s="129">
        <v>357</v>
      </c>
      <c r="C427" s="129">
        <v>12</v>
      </c>
      <c r="D427" s="130" t="s">
        <v>226</v>
      </c>
      <c r="E427" s="130" t="s">
        <v>207</v>
      </c>
      <c r="F427" s="256" t="s">
        <v>346</v>
      </c>
      <c r="G427" s="361"/>
      <c r="H427" s="238"/>
      <c r="I427" s="238" t="s">
        <v>1</v>
      </c>
      <c r="J427" s="521"/>
      <c r="K427" s="238">
        <f t="shared" si="66"/>
        <v>0</v>
      </c>
      <c r="L427" s="241"/>
      <c r="M427" s="241"/>
      <c r="N427" s="240"/>
      <c r="O427" s="210"/>
      <c r="P427" s="210"/>
      <c r="Q427" s="210"/>
    </row>
    <row r="428" spans="1:17">
      <c r="A428" s="128">
        <v>72000</v>
      </c>
      <c r="B428" s="129">
        <v>357</v>
      </c>
      <c r="C428" s="129">
        <v>12</v>
      </c>
      <c r="D428" s="130" t="s">
        <v>209</v>
      </c>
      <c r="E428" s="129">
        <v>10</v>
      </c>
      <c r="F428" s="256" t="s">
        <v>144</v>
      </c>
      <c r="G428" s="361"/>
      <c r="H428" s="238"/>
      <c r="I428" s="238" t="s">
        <v>1</v>
      </c>
      <c r="J428" s="521"/>
      <c r="K428" s="238">
        <f t="shared" si="66"/>
        <v>0</v>
      </c>
      <c r="L428" s="241"/>
      <c r="M428" s="241"/>
      <c r="N428" s="240"/>
      <c r="O428" s="210"/>
      <c r="P428" s="210"/>
      <c r="Q428" s="210"/>
    </row>
    <row r="429" spans="1:17" s="374" customFormat="1">
      <c r="A429" s="375">
        <v>72000</v>
      </c>
      <c r="B429" s="229">
        <v>357</v>
      </c>
      <c r="C429" s="229">
        <v>12</v>
      </c>
      <c r="D429" s="367" t="s">
        <v>208</v>
      </c>
      <c r="E429" s="367" t="s">
        <v>207</v>
      </c>
      <c r="F429" s="368" t="s">
        <v>145</v>
      </c>
      <c r="G429" s="487"/>
      <c r="H429" s="369"/>
      <c r="I429" s="369" t="s">
        <v>1</v>
      </c>
      <c r="J429" s="560"/>
      <c r="K429" s="369">
        <f t="shared" si="66"/>
        <v>0</v>
      </c>
      <c r="L429" s="371">
        <f>SUM(J429:J429)</f>
        <v>0</v>
      </c>
      <c r="M429" s="371" t="e">
        <f>#REF!-#REF!</f>
        <v>#REF!</v>
      </c>
      <c r="N429" s="372"/>
      <c r="O429" s="373"/>
      <c r="P429" s="373"/>
      <c r="Q429" s="373"/>
    </row>
    <row r="430" spans="1:17" ht="13.5" thickBot="1">
      <c r="A430" s="128">
        <v>72000</v>
      </c>
      <c r="B430" s="129">
        <v>357</v>
      </c>
      <c r="C430" s="129">
        <v>12</v>
      </c>
      <c r="D430" s="129">
        <v>99</v>
      </c>
      <c r="E430" s="129">
        <v>99</v>
      </c>
      <c r="F430" s="256" t="s">
        <v>138</v>
      </c>
      <c r="G430" s="361">
        <v>420000</v>
      </c>
      <c r="H430" s="238">
        <v>75750</v>
      </c>
      <c r="I430" s="330">
        <v>3096761.96</v>
      </c>
      <c r="J430" s="521">
        <v>69000</v>
      </c>
      <c r="K430" s="238">
        <f t="shared" si="66"/>
        <v>-6750</v>
      </c>
      <c r="L430" s="241">
        <f>SUM(J430:J430)</f>
        <v>69000</v>
      </c>
      <c r="M430" s="241" t="e">
        <f>#REF!-#REF!</f>
        <v>#REF!</v>
      </c>
      <c r="N430" s="240"/>
      <c r="O430" s="210">
        <v>79350</v>
      </c>
      <c r="P430" s="210">
        <v>127000</v>
      </c>
      <c r="Q430" s="210">
        <v>129000</v>
      </c>
    </row>
    <row r="431" spans="1:17" ht="39" thickBot="1">
      <c r="F431" s="274" t="s">
        <v>575</v>
      </c>
      <c r="G431" s="265">
        <v>428000</v>
      </c>
      <c r="H431" s="245">
        <v>109750</v>
      </c>
      <c r="I431" s="339">
        <f>SUM(I424:I430)</f>
        <v>3096761.96</v>
      </c>
      <c r="J431" s="541">
        <f>SUM(J424:J430)</f>
        <v>69000</v>
      </c>
      <c r="K431" s="245">
        <f t="shared" ref="K431:Q431" si="67">SUM(K424:K430)</f>
        <v>-40750</v>
      </c>
      <c r="L431" s="474">
        <f t="shared" si="67"/>
        <v>69000</v>
      </c>
      <c r="M431" s="245" t="e">
        <f t="shared" si="67"/>
        <v>#REF!</v>
      </c>
      <c r="N431" s="265">
        <f t="shared" si="67"/>
        <v>0</v>
      </c>
      <c r="O431" s="245">
        <f t="shared" si="67"/>
        <v>79350</v>
      </c>
      <c r="P431" s="245">
        <f t="shared" si="67"/>
        <v>127000</v>
      </c>
      <c r="Q431" s="245">
        <f t="shared" si="67"/>
        <v>129000</v>
      </c>
    </row>
    <row r="432" spans="1:17">
      <c r="F432" s="256"/>
      <c r="G432" s="490"/>
      <c r="H432" s="238"/>
      <c r="I432" s="238" t="s">
        <v>527</v>
      </c>
      <c r="J432" s="521"/>
      <c r="K432" s="238"/>
      <c r="L432" s="241">
        <f>SUM(J432:J432)</f>
        <v>0</v>
      </c>
      <c r="M432" s="241" t="e">
        <f>#REF!-#REF!</f>
        <v>#REF!</v>
      </c>
      <c r="N432" s="240"/>
      <c r="O432" s="210"/>
      <c r="P432" s="210"/>
      <c r="Q432" s="210"/>
    </row>
    <row r="433" spans="1:17">
      <c r="F433" s="255" t="s">
        <v>308</v>
      </c>
      <c r="G433" s="490"/>
      <c r="H433" s="238"/>
      <c r="I433" s="238" t="s">
        <v>1</v>
      </c>
      <c r="J433" s="538"/>
      <c r="K433" s="238"/>
      <c r="L433" s="241">
        <f>SUM(J433:J433)</f>
        <v>0</v>
      </c>
      <c r="M433" s="241" t="e">
        <f>#REF!-#REF!</f>
        <v>#REF!</v>
      </c>
      <c r="N433" s="240"/>
      <c r="O433" s="210"/>
      <c r="P433" s="210"/>
      <c r="Q433" s="210"/>
    </row>
    <row r="434" spans="1:17">
      <c r="A434" s="128">
        <v>72000</v>
      </c>
      <c r="B434" s="129">
        <v>357</v>
      </c>
      <c r="C434" s="129">
        <v>12</v>
      </c>
      <c r="D434" s="129">
        <v>11</v>
      </c>
      <c r="E434" s="129">
        <v>41</v>
      </c>
      <c r="F434" s="272" t="s">
        <v>140</v>
      </c>
      <c r="G434" s="490">
        <v>0</v>
      </c>
      <c r="H434" s="238"/>
      <c r="I434" s="238" t="s">
        <v>1</v>
      </c>
      <c r="J434" s="518"/>
      <c r="K434" s="238"/>
      <c r="L434" s="241">
        <f>SUM(J434:J434)</f>
        <v>0</v>
      </c>
      <c r="M434" s="241" t="e">
        <f>#REF!-#REF!</f>
        <v>#REF!</v>
      </c>
      <c r="N434" s="240"/>
      <c r="O434" s="210"/>
      <c r="P434" s="210"/>
      <c r="Q434" s="210"/>
    </row>
    <row r="435" spans="1:17" ht="13.5" thickBot="1">
      <c r="A435" s="128">
        <v>72000</v>
      </c>
      <c r="B435" s="129">
        <v>357</v>
      </c>
      <c r="C435" s="129">
        <v>12</v>
      </c>
      <c r="D435" s="129">
        <v>14</v>
      </c>
      <c r="E435" s="130" t="s">
        <v>207</v>
      </c>
      <c r="F435" s="272" t="s">
        <v>142</v>
      </c>
      <c r="G435" s="490">
        <v>0</v>
      </c>
      <c r="H435" s="247"/>
      <c r="I435" s="238" t="s">
        <v>1</v>
      </c>
      <c r="J435" s="518"/>
      <c r="K435" s="238"/>
      <c r="L435" s="241">
        <f>SUM(J435:J435)</f>
        <v>0</v>
      </c>
      <c r="M435" s="241" t="e">
        <f>#REF!-#REF!</f>
        <v>#REF!</v>
      </c>
      <c r="N435" s="240"/>
      <c r="O435" s="210"/>
      <c r="P435" s="210"/>
      <c r="Q435" s="210"/>
    </row>
    <row r="436" spans="1:17" ht="13.5" thickBot="1">
      <c r="F436" s="274" t="s">
        <v>310</v>
      </c>
      <c r="G436" s="265">
        <v>0</v>
      </c>
      <c r="H436" s="245">
        <v>0</v>
      </c>
      <c r="I436" s="245">
        <f>SUM(I434:I435)</f>
        <v>0</v>
      </c>
      <c r="J436" s="541">
        <f>SUM(J434:J435)</f>
        <v>0</v>
      </c>
      <c r="K436" s="245">
        <f t="shared" ref="K436:Q436" si="68">SUM(K434:K435)</f>
        <v>0</v>
      </c>
      <c r="L436" s="474">
        <f t="shared" si="68"/>
        <v>0</v>
      </c>
      <c r="M436" s="245" t="e">
        <f t="shared" si="68"/>
        <v>#REF!</v>
      </c>
      <c r="N436" s="265">
        <f t="shared" si="68"/>
        <v>0</v>
      </c>
      <c r="O436" s="245">
        <f t="shared" si="68"/>
        <v>0</v>
      </c>
      <c r="P436" s="245">
        <f t="shared" si="68"/>
        <v>0</v>
      </c>
      <c r="Q436" s="245">
        <f t="shared" si="68"/>
        <v>0</v>
      </c>
    </row>
    <row r="437" spans="1:17" ht="13.5" thickBot="1">
      <c r="F437" s="256"/>
      <c r="G437" s="361"/>
      <c r="H437" s="238"/>
      <c r="I437" s="238"/>
      <c r="J437" s="518"/>
      <c r="K437" s="238"/>
      <c r="L437" s="241"/>
      <c r="M437" s="241"/>
      <c r="N437" s="240"/>
      <c r="O437" s="210"/>
      <c r="P437" s="210"/>
      <c r="Q437" s="210"/>
    </row>
    <row r="438" spans="1:17" ht="26.25" thickBot="1">
      <c r="F438" s="274" t="s">
        <v>511</v>
      </c>
      <c r="G438" s="265"/>
      <c r="H438" s="245"/>
      <c r="I438" s="245">
        <v>0</v>
      </c>
      <c r="J438" s="541"/>
      <c r="K438" s="245"/>
      <c r="L438" s="474"/>
      <c r="M438" s="245"/>
      <c r="N438" s="265"/>
      <c r="O438" s="245"/>
      <c r="P438" s="245"/>
      <c r="Q438" s="245"/>
    </row>
    <row r="439" spans="1:17" ht="13.5" thickBot="1">
      <c r="F439" s="256"/>
      <c r="G439" s="361"/>
      <c r="H439" s="238"/>
      <c r="I439" s="238"/>
      <c r="J439" s="518"/>
      <c r="K439" s="238"/>
      <c r="L439" s="241"/>
      <c r="M439" s="241"/>
      <c r="N439" s="240"/>
      <c r="O439" s="210"/>
      <c r="P439" s="210"/>
      <c r="Q439" s="210"/>
    </row>
    <row r="440" spans="1:17" ht="16.5" thickBot="1">
      <c r="F440" s="273" t="s">
        <v>309</v>
      </c>
      <c r="G440" s="265">
        <v>66498900000</v>
      </c>
      <c r="H440" s="450">
        <f>94185200000.4222</f>
        <v>94185200000.422195</v>
      </c>
      <c r="I440" s="245">
        <f>I436+I431+I421+I409+I400+I384+I377+I372+I357+I351+I340+I330+I322+I316+I312+I308+I302+I295+I290+I279+I270+I261+I252+I243+I238+I228+I221+I217+I208+I203+I195+I179+I167+I145+I129+I117+I106+I100+I96+I90+I85+I80+I74+I69+I59+I47</f>
        <v>64392654677.370003</v>
      </c>
      <c r="J440" s="541">
        <f>J436+J431+J421+J409+J400+J384+J377+J372+J357+J351+J340+J330+J322+J316+J312+J308+J302+J295+J290+J279+J270+J261+J252+J243+J238+J228+J221+J217+J208+J203+J195+J179+J167+J145+J129+J117+J106+J100+J96+J90+J85+J80+J74+J69+J59+J55+J51+J47</f>
        <v>65398700000.110001</v>
      </c>
      <c r="K440" s="245">
        <f>K436+K431+K421+K409+K400+K384+K377+K372+K357+K351+K340+K330+K322+K316+K312+K308+K302+K295+K290+K279+K270+K261+K252+K243+K238+K228+K221+K217+K208+K203+K195+K179+K167+K145+K129+K117+K106+K100+K96+K90+K85+K80+K74+K69+K59+K55+K51+K47</f>
        <v>4360251143.6877718</v>
      </c>
      <c r="L440" s="474">
        <f>L436+L431+L421+L409+L400+L384+L377+L372+L357+L351+L340+L330+L322+L316+L312+L308+L302+L295+L290+L279+L270+L261+L252+L243+L238+L228+L221+L217+L208+L203+L195+L179+L167+L145+L129+L117+L106+L100+L96+L90+L85+L80+L74+L69+L59+L47</f>
        <v>36009781213.940002</v>
      </c>
      <c r="M440" s="245" t="e">
        <f>M436+M431+M421+M409+M400+M384+M377+M372+M357+M351+M340+M330+M322+M316+M312+M308+M302+M295+M290+M279+M270+M261+M252+M243+M238+M228+M221+M217+M208+M203+M195+M179+M167+M145+M129+M117+M106+M100+M96+M90+M85+M80+M74+M69+M59+M47</f>
        <v>#REF!</v>
      </c>
      <c r="N440" s="265">
        <f>N436+N431+N421+N409+N400+N384+N377+N372+N357+N351+N340+N330+N322+N316+N312+N308+N302+N295+N290+N279+N270+N261+N252+N243+N238+N228+N221+N217+N208+N203+N195+N179+N167+N145+N129+N117+N106+N100+N96+N90+N85+N80+N74+N69+N59+N47</f>
        <v>0</v>
      </c>
      <c r="O440" s="245">
        <f>O436+O431+O421+O409+O400+O384+O377+O372+O357+O351+O340+O330+O322+O316+O312+O308+O302+O295+O290+O279+O270+O261+O252+O243+O238+O228+O221+O217+O208+O203+O195+O179+O167+O145+O129+O117+O106+O100+O96+O90+O85+O80+O74+O69+O59+O55+O51+O47</f>
        <v>60257413301.540001</v>
      </c>
      <c r="P440" s="245">
        <f>P436+P431+P421+P409+P400+P384+P377+P372+P357+P351+P340+P330+P322+P316+P312+P308+P302+P295+P290+P279+P270+P261+P252+P243+P238+P228+P221+P217+P208+P203+P195+P179+P167+P145+P129+P117+P106+P100+P96+P90+P85+P80+P74+P69+P59+P55+P51+P47</f>
        <v>57113022122.049995</v>
      </c>
      <c r="Q440" s="245">
        <f>Q436+Q431+Q421+Q409+Q400+Q384+Q377+Q372+Q357+Q351+Q340+Q330+Q322+Q316+Q312+Q308+Q302+Q295+Q290+Q279+Q270+Q261+Q252+Q243+Q238+Q228+Q221+Q217+Q208+Q203+Q195+Q179+Q167+Q145+Q129+Q117+Q106+Q100+Q96+Q90+Q85+Q80+Q74+Q69+Q59+Q55+Q51+Q47</f>
        <v>44111862744.940002</v>
      </c>
    </row>
    <row r="441" spans="1:17" ht="18.75" thickBot="1">
      <c r="F441" s="363"/>
      <c r="G441" s="486"/>
      <c r="H441" s="244"/>
      <c r="I441" s="244"/>
      <c r="J441" s="561"/>
      <c r="K441" s="244"/>
      <c r="L441" s="241"/>
      <c r="M441" s="241"/>
      <c r="N441" s="240"/>
      <c r="O441" s="210"/>
      <c r="P441" s="210"/>
      <c r="Q441" s="210"/>
    </row>
    <row r="442" spans="1:17" ht="16.5" thickBot="1">
      <c r="F442" s="273" t="s">
        <v>431</v>
      </c>
      <c r="G442" s="265">
        <v>638960188759.69983</v>
      </c>
      <c r="H442" s="450">
        <f>H440+H42</f>
        <v>666646488760.12207</v>
      </c>
      <c r="I442" s="245">
        <f t="shared" ref="I442:Q442" si="69">I440+I42</f>
        <v>482422551884.39001</v>
      </c>
      <c r="J442" s="541">
        <f t="shared" si="69"/>
        <v>736934798866.77991</v>
      </c>
      <c r="K442" s="245">
        <f t="shared" si="69"/>
        <v>103435061250.65776</v>
      </c>
      <c r="L442" s="474">
        <f t="shared" si="69"/>
        <v>243883632009.70999</v>
      </c>
      <c r="M442" s="245" t="e">
        <f t="shared" si="69"/>
        <v>#REF!</v>
      </c>
      <c r="N442" s="265">
        <f t="shared" si="69"/>
        <v>0</v>
      </c>
      <c r="O442" s="245">
        <f t="shared" si="69"/>
        <v>62127803201.540001</v>
      </c>
      <c r="P442" s="245">
        <f t="shared" si="69"/>
        <v>57113022122.049995</v>
      </c>
      <c r="Q442" s="245">
        <f t="shared" si="69"/>
        <v>44111862744.940002</v>
      </c>
    </row>
    <row r="443" spans="1:17">
      <c r="F443" s="256"/>
      <c r="G443" s="490"/>
      <c r="H443" s="238"/>
      <c r="I443" s="238" t="s">
        <v>1</v>
      </c>
      <c r="J443" s="521" t="s">
        <v>1</v>
      </c>
      <c r="K443" s="238"/>
      <c r="L443" s="241"/>
      <c r="M443" s="241"/>
      <c r="N443" s="240"/>
      <c r="O443" s="210"/>
      <c r="P443" s="210"/>
      <c r="Q443" s="210"/>
    </row>
    <row r="444" spans="1:17">
      <c r="F444" s="276" t="s">
        <v>311</v>
      </c>
      <c r="G444" s="490"/>
      <c r="H444" s="238"/>
      <c r="I444" s="238"/>
      <c r="J444" s="562"/>
      <c r="K444" s="238"/>
      <c r="L444" s="241"/>
      <c r="M444" s="241"/>
      <c r="N444" s="240"/>
      <c r="O444" s="210"/>
      <c r="P444" s="210"/>
      <c r="Q444" s="210"/>
    </row>
    <row r="445" spans="1:17">
      <c r="F445" s="276" t="s">
        <v>314</v>
      </c>
      <c r="G445" s="490"/>
      <c r="H445" s="238"/>
      <c r="I445" s="238"/>
      <c r="J445" s="562"/>
      <c r="K445" s="238"/>
      <c r="L445" s="241"/>
      <c r="M445" s="241"/>
      <c r="N445" s="240"/>
      <c r="O445" s="210"/>
      <c r="P445" s="210"/>
      <c r="Q445" s="210"/>
    </row>
    <row r="446" spans="1:17" ht="13.5" thickBot="1">
      <c r="A446" s="128">
        <v>19047</v>
      </c>
      <c r="B446" s="130" t="s">
        <v>196</v>
      </c>
      <c r="C446" s="129">
        <v>31</v>
      </c>
      <c r="D446" s="130" t="s">
        <v>208</v>
      </c>
      <c r="E446" s="130" t="s">
        <v>208</v>
      </c>
      <c r="F446" s="256" t="s">
        <v>132</v>
      </c>
      <c r="G446" s="361">
        <v>214421773</v>
      </c>
      <c r="H446" s="238"/>
      <c r="I446" s="238"/>
      <c r="J446" s="521"/>
      <c r="K446" s="238">
        <f>J446-H446</f>
        <v>0</v>
      </c>
      <c r="L446" s="241"/>
      <c r="M446" s="241"/>
      <c r="N446" s="240"/>
      <c r="O446" s="210"/>
      <c r="P446" s="210"/>
      <c r="Q446" s="210"/>
    </row>
    <row r="447" spans="1:17" ht="13.5" thickBot="1">
      <c r="F447" s="274" t="s">
        <v>318</v>
      </c>
      <c r="G447" s="265">
        <v>214421773</v>
      </c>
      <c r="H447" s="245">
        <v>0</v>
      </c>
      <c r="I447" s="245">
        <f>SUM(I446)</f>
        <v>0</v>
      </c>
      <c r="J447" s="541">
        <f>SUM(J446)</f>
        <v>0</v>
      </c>
      <c r="K447" s="245">
        <f t="shared" ref="K447:Q447" si="70">SUM(K446)</f>
        <v>0</v>
      </c>
      <c r="L447" s="474">
        <f t="shared" si="70"/>
        <v>0</v>
      </c>
      <c r="M447" s="245">
        <f t="shared" si="70"/>
        <v>0</v>
      </c>
      <c r="N447" s="265">
        <f t="shared" si="70"/>
        <v>0</v>
      </c>
      <c r="O447" s="245">
        <f t="shared" si="70"/>
        <v>0</v>
      </c>
      <c r="P447" s="245">
        <f t="shared" si="70"/>
        <v>0</v>
      </c>
      <c r="Q447" s="245">
        <f t="shared" si="70"/>
        <v>0</v>
      </c>
    </row>
    <row r="448" spans="1:17">
      <c r="F448" s="256"/>
      <c r="G448" s="490"/>
      <c r="H448" s="238"/>
      <c r="I448" s="238"/>
      <c r="J448" s="518"/>
      <c r="K448" s="238"/>
      <c r="L448" s="241">
        <f>SUM(J448:J448)</f>
        <v>0</v>
      </c>
      <c r="M448" s="241" t="e">
        <f>#REF!-#REF!</f>
        <v>#REF!</v>
      </c>
      <c r="N448" s="240"/>
      <c r="O448" s="210"/>
      <c r="P448" s="210"/>
      <c r="Q448" s="210"/>
    </row>
    <row r="449" spans="1:17">
      <c r="F449" s="255" t="s">
        <v>315</v>
      </c>
      <c r="G449" s="490"/>
      <c r="H449" s="238"/>
      <c r="I449" s="238"/>
      <c r="J449" s="518"/>
      <c r="K449" s="238"/>
      <c r="L449" s="241"/>
      <c r="M449" s="241"/>
      <c r="N449" s="240"/>
      <c r="O449" s="210"/>
      <c r="P449" s="210"/>
      <c r="Q449" s="210"/>
    </row>
    <row r="450" spans="1:17" ht="13.5" thickBot="1">
      <c r="A450" s="128">
        <v>20011</v>
      </c>
      <c r="B450" s="130" t="s">
        <v>196</v>
      </c>
      <c r="C450" s="129">
        <v>13</v>
      </c>
      <c r="D450" s="130" t="s">
        <v>215</v>
      </c>
      <c r="E450" s="129">
        <v>99</v>
      </c>
      <c r="F450" s="256" t="s">
        <v>147</v>
      </c>
      <c r="G450" s="488">
        <v>121578227</v>
      </c>
      <c r="H450" s="359">
        <v>96419057.049999997</v>
      </c>
      <c r="I450" s="238">
        <v>875752279.95000005</v>
      </c>
      <c r="J450" s="518">
        <v>1477000000</v>
      </c>
      <c r="K450" s="238">
        <f>J450-H450</f>
        <v>1380580942.95</v>
      </c>
      <c r="L450" s="241">
        <f>SUM(L446:L449)</f>
        <v>0</v>
      </c>
      <c r="M450" s="243" t="e">
        <f>SUM(M446:M449)</f>
        <v>#REF!</v>
      </c>
      <c r="N450" s="240"/>
      <c r="O450" s="210"/>
      <c r="P450" s="210"/>
      <c r="Q450" s="210"/>
    </row>
    <row r="451" spans="1:17" ht="13.5" thickBot="1">
      <c r="F451" s="274" t="s">
        <v>319</v>
      </c>
      <c r="G451" s="265">
        <v>121578227</v>
      </c>
      <c r="H451" s="245">
        <v>96419057.049999997</v>
      </c>
      <c r="I451" s="245">
        <f>SUM(I450)</f>
        <v>875752279.95000005</v>
      </c>
      <c r="J451" s="541">
        <f>SUM(J450)</f>
        <v>1477000000</v>
      </c>
      <c r="K451" s="245">
        <f t="shared" ref="K451:Q451" si="71">SUM(K450)</f>
        <v>1380580942.95</v>
      </c>
      <c r="L451" s="474">
        <f t="shared" si="71"/>
        <v>0</v>
      </c>
      <c r="M451" s="245" t="e">
        <f t="shared" si="71"/>
        <v>#REF!</v>
      </c>
      <c r="N451" s="265">
        <f t="shared" si="71"/>
        <v>0</v>
      </c>
      <c r="O451" s="245">
        <f t="shared" si="71"/>
        <v>0</v>
      </c>
      <c r="P451" s="245">
        <f t="shared" si="71"/>
        <v>0</v>
      </c>
      <c r="Q451" s="245">
        <f t="shared" si="71"/>
        <v>0</v>
      </c>
    </row>
    <row r="452" spans="1:17">
      <c r="F452" s="256"/>
      <c r="G452" s="490"/>
      <c r="H452" s="238"/>
      <c r="I452" s="238" t="str">
        <f>[1]new!U411</f>
        <v xml:space="preserve"> </v>
      </c>
      <c r="J452" s="521"/>
      <c r="K452" s="238"/>
      <c r="L452" s="241">
        <f>SUM(J452:J452)</f>
        <v>0</v>
      </c>
      <c r="M452" s="241" t="e">
        <f>#REF!-#REF!</f>
        <v>#REF!</v>
      </c>
      <c r="N452" s="240"/>
      <c r="O452" s="210"/>
      <c r="P452" s="210"/>
      <c r="Q452" s="210"/>
    </row>
    <row r="453" spans="1:17">
      <c r="F453" s="255" t="s">
        <v>316</v>
      </c>
      <c r="G453" s="490"/>
      <c r="H453" s="238"/>
      <c r="I453" s="238" t="str">
        <f>[1]new!U412</f>
        <v xml:space="preserve"> </v>
      </c>
      <c r="J453" s="538"/>
      <c r="K453" s="238">
        <f>J453-H453</f>
        <v>0</v>
      </c>
      <c r="L453" s="241">
        <f>SUM(J453:J453)</f>
        <v>0</v>
      </c>
      <c r="M453" s="241" t="e">
        <f>#REF!-#REF!</f>
        <v>#REF!</v>
      </c>
      <c r="N453" s="240"/>
      <c r="O453" s="210"/>
      <c r="P453" s="210"/>
      <c r="Q453" s="210"/>
    </row>
    <row r="454" spans="1:17">
      <c r="A454" s="128">
        <v>20000</v>
      </c>
      <c r="B454" s="130" t="s">
        <v>196</v>
      </c>
      <c r="C454" s="129">
        <v>13</v>
      </c>
      <c r="D454" s="130"/>
      <c r="F454" s="256" t="s">
        <v>451</v>
      </c>
      <c r="G454" s="361">
        <v>8193000000</v>
      </c>
      <c r="H454" s="451">
        <v>4348700000</v>
      </c>
      <c r="I454" s="238"/>
      <c r="J454" s="521">
        <v>17800000000</v>
      </c>
      <c r="K454" s="238">
        <f>J454-H454</f>
        <v>13451300000</v>
      </c>
      <c r="L454" s="241"/>
      <c r="M454" s="241"/>
      <c r="N454" s="240"/>
      <c r="O454" s="210"/>
      <c r="P454" s="210"/>
      <c r="Q454" s="210"/>
    </row>
    <row r="455" spans="1:17">
      <c r="A455" s="128">
        <v>20000</v>
      </c>
      <c r="B455" s="130" t="s">
        <v>196</v>
      </c>
      <c r="C455" s="129">
        <v>13</v>
      </c>
      <c r="D455" s="130"/>
      <c r="F455" s="256" t="s">
        <v>540</v>
      </c>
      <c r="G455" s="361"/>
      <c r="H455" s="238"/>
      <c r="I455" s="238"/>
      <c r="J455" s="521">
        <v>600000000</v>
      </c>
      <c r="K455" s="238">
        <f>J455-H455</f>
        <v>600000000</v>
      </c>
      <c r="L455" s="241"/>
      <c r="M455" s="241"/>
      <c r="N455" s="240"/>
      <c r="O455" s="210"/>
      <c r="P455" s="210"/>
      <c r="Q455" s="210"/>
    </row>
    <row r="456" spans="1:17" ht="13.5" thickBot="1">
      <c r="A456" s="128">
        <v>20000</v>
      </c>
      <c r="B456" s="130" t="s">
        <v>196</v>
      </c>
      <c r="C456" s="129">
        <v>13</v>
      </c>
      <c r="D456" s="130"/>
      <c r="F456" s="256" t="s">
        <v>150</v>
      </c>
      <c r="G456" s="361"/>
      <c r="H456" s="238"/>
      <c r="I456" s="238" t="s">
        <v>1</v>
      </c>
      <c r="J456" s="521">
        <v>14114600000</v>
      </c>
      <c r="K456" s="238">
        <f>J456-H456</f>
        <v>14114600000</v>
      </c>
      <c r="L456" s="241"/>
      <c r="M456" s="241"/>
      <c r="N456" s="240"/>
      <c r="O456" s="210"/>
      <c r="P456" s="210"/>
      <c r="Q456" s="210"/>
    </row>
    <row r="457" spans="1:17" ht="13.5" thickBot="1">
      <c r="F457" s="274" t="s">
        <v>320</v>
      </c>
      <c r="G457" s="265">
        <v>8193000000</v>
      </c>
      <c r="H457" s="450">
        <f>H454</f>
        <v>4348700000</v>
      </c>
      <c r="I457" s="245">
        <f>SUM(I454:I456)</f>
        <v>0</v>
      </c>
      <c r="J457" s="541">
        <f>SUM(J454:J456)</f>
        <v>32514600000</v>
      </c>
      <c r="K457" s="245">
        <f t="shared" ref="K457:Q457" si="72">SUM(K454:K456)</f>
        <v>28165900000</v>
      </c>
      <c r="L457" s="474">
        <f t="shared" si="72"/>
        <v>0</v>
      </c>
      <c r="M457" s="245">
        <f t="shared" si="72"/>
        <v>0</v>
      </c>
      <c r="N457" s="265">
        <f t="shared" si="72"/>
        <v>0</v>
      </c>
      <c r="O457" s="245">
        <f t="shared" si="72"/>
        <v>0</v>
      </c>
      <c r="P457" s="245">
        <f t="shared" si="72"/>
        <v>0</v>
      </c>
      <c r="Q457" s="245">
        <f t="shared" si="72"/>
        <v>0</v>
      </c>
    </row>
    <row r="458" spans="1:17" ht="13.5" thickBot="1">
      <c r="F458" s="256"/>
      <c r="G458" s="490"/>
      <c r="H458" s="238" t="s">
        <v>1</v>
      </c>
      <c r="I458" s="238" t="s">
        <v>1</v>
      </c>
      <c r="J458" s="518" t="s">
        <v>1</v>
      </c>
      <c r="K458" s="238"/>
      <c r="L458" s="241"/>
      <c r="M458" s="241"/>
      <c r="N458" s="240"/>
      <c r="O458" s="210"/>
      <c r="P458" s="210"/>
      <c r="Q458" s="210"/>
    </row>
    <row r="459" spans="1:17" ht="13.5" thickBot="1">
      <c r="F459" s="274" t="s">
        <v>317</v>
      </c>
      <c r="G459" s="265">
        <v>8529000000</v>
      </c>
      <c r="H459" s="450">
        <f>96419057.05+H457</f>
        <v>4445119057.0500002</v>
      </c>
      <c r="I459" s="245">
        <f>I457+I451+I447</f>
        <v>875752279.95000005</v>
      </c>
      <c r="J459" s="541">
        <f>J457+J451+J447</f>
        <v>33991600000</v>
      </c>
      <c r="K459" s="245">
        <f>K457+K451+K447</f>
        <v>29546480942.950001</v>
      </c>
      <c r="L459" s="474">
        <f t="shared" ref="L459:Q459" si="73">L457+L451+L447</f>
        <v>0</v>
      </c>
      <c r="M459" s="245" t="e">
        <f t="shared" si="73"/>
        <v>#REF!</v>
      </c>
      <c r="N459" s="265">
        <f t="shared" si="73"/>
        <v>0</v>
      </c>
      <c r="O459" s="245">
        <f t="shared" si="73"/>
        <v>0</v>
      </c>
      <c r="P459" s="245">
        <f t="shared" si="73"/>
        <v>0</v>
      </c>
      <c r="Q459" s="245">
        <f t="shared" si="73"/>
        <v>0</v>
      </c>
    </row>
    <row r="460" spans="1:17">
      <c r="F460" s="256"/>
      <c r="G460" s="492"/>
      <c r="H460" s="238"/>
      <c r="I460" s="238" t="s">
        <v>1</v>
      </c>
      <c r="J460" s="521"/>
      <c r="K460" s="238"/>
      <c r="L460" s="241"/>
      <c r="M460" s="241"/>
      <c r="N460" s="240"/>
      <c r="O460" s="210"/>
      <c r="P460" s="210"/>
      <c r="Q460" s="210"/>
    </row>
    <row r="461" spans="1:17">
      <c r="F461" s="255" t="s">
        <v>436</v>
      </c>
      <c r="G461" s="490"/>
      <c r="H461" s="238"/>
      <c r="I461" s="238" t="s">
        <v>1</v>
      </c>
      <c r="J461" s="538"/>
      <c r="K461" s="238"/>
      <c r="L461" s="241"/>
      <c r="M461" s="241"/>
      <c r="N461" s="240"/>
      <c r="O461" s="210"/>
      <c r="P461" s="210"/>
      <c r="Q461" s="210"/>
    </row>
    <row r="462" spans="1:17" ht="25.5">
      <c r="F462" s="255" t="s">
        <v>321</v>
      </c>
      <c r="G462" s="490"/>
      <c r="H462" s="238"/>
      <c r="I462" s="238" t="s">
        <v>1</v>
      </c>
      <c r="J462" s="538"/>
      <c r="K462" s="238"/>
      <c r="L462" s="241"/>
      <c r="M462" s="241"/>
      <c r="N462" s="240"/>
      <c r="O462" s="210"/>
      <c r="P462" s="210"/>
      <c r="Q462" s="210"/>
    </row>
    <row r="463" spans="1:17">
      <c r="A463" s="128">
        <v>20000</v>
      </c>
      <c r="B463" s="130" t="s">
        <v>196</v>
      </c>
      <c r="C463" s="129">
        <v>13</v>
      </c>
      <c r="D463" s="130" t="s">
        <v>207</v>
      </c>
      <c r="E463" s="130" t="s">
        <v>208</v>
      </c>
      <c r="F463" s="256" t="s">
        <v>355</v>
      </c>
      <c r="G463" s="490">
        <v>135700000</v>
      </c>
      <c r="H463" s="238">
        <v>148700000</v>
      </c>
      <c r="I463" s="238" t="s">
        <v>695</v>
      </c>
      <c r="J463" s="521">
        <v>4908300000</v>
      </c>
      <c r="K463" s="238">
        <f>J463-H463</f>
        <v>4759600000</v>
      </c>
      <c r="L463" s="241"/>
      <c r="M463" s="241"/>
      <c r="N463" s="240"/>
      <c r="O463" s="210"/>
      <c r="P463" s="210"/>
      <c r="Q463" s="210"/>
    </row>
    <row r="464" spans="1:17" ht="25.5">
      <c r="A464" s="128">
        <v>20000</v>
      </c>
      <c r="B464" s="130" t="s">
        <v>196</v>
      </c>
      <c r="C464" s="129">
        <v>13</v>
      </c>
      <c r="D464" s="130" t="s">
        <v>207</v>
      </c>
      <c r="E464" s="130" t="s">
        <v>215</v>
      </c>
      <c r="F464" s="256" t="s">
        <v>154</v>
      </c>
      <c r="G464" s="490"/>
      <c r="H464" s="238"/>
      <c r="I464" s="238" t="s">
        <v>1</v>
      </c>
      <c r="J464" s="521"/>
      <c r="K464" s="238">
        <f>J464-H464</f>
        <v>0</v>
      </c>
      <c r="L464" s="241"/>
      <c r="M464" s="241"/>
      <c r="N464" s="240"/>
      <c r="O464" s="210"/>
      <c r="P464" s="210"/>
      <c r="Q464" s="210"/>
    </row>
    <row r="465" spans="1:17" ht="13.5" thickBot="1">
      <c r="A465" s="128">
        <v>20000</v>
      </c>
      <c r="B465" s="130" t="s">
        <v>196</v>
      </c>
      <c r="C465" s="129">
        <v>13</v>
      </c>
      <c r="D465" s="130" t="s">
        <v>207</v>
      </c>
      <c r="E465" s="129">
        <v>99</v>
      </c>
      <c r="F465" s="256" t="s">
        <v>356</v>
      </c>
      <c r="G465" s="361"/>
      <c r="H465" s="238"/>
      <c r="I465" s="238" t="s">
        <v>1</v>
      </c>
      <c r="J465" s="521"/>
      <c r="K465" s="238">
        <f>J465-H465</f>
        <v>0</v>
      </c>
      <c r="L465" s="241">
        <f>SUM(J465:J465)</f>
        <v>0</v>
      </c>
      <c r="M465" s="241" t="e">
        <f>#REF!-#REF!</f>
        <v>#REF!</v>
      </c>
      <c r="N465" s="240"/>
      <c r="O465" s="210"/>
      <c r="P465" s="210"/>
      <c r="Q465" s="210"/>
    </row>
    <row r="466" spans="1:17" ht="26.25" thickBot="1">
      <c r="F466" s="274" t="s">
        <v>455</v>
      </c>
      <c r="G466" s="265">
        <v>135700000</v>
      </c>
      <c r="H466" s="245">
        <v>148700000</v>
      </c>
      <c r="I466" s="245">
        <f>SUM(I465)</f>
        <v>0</v>
      </c>
      <c r="J466" s="541">
        <f>SUM(J463:J465)</f>
        <v>4908300000</v>
      </c>
      <c r="K466" s="245">
        <f>SUM(K465)</f>
        <v>0</v>
      </c>
      <c r="L466" s="474">
        <f t="shared" ref="L466:Q466" si="74">SUM(L465)</f>
        <v>0</v>
      </c>
      <c r="M466" s="245" t="e">
        <f t="shared" si="74"/>
        <v>#REF!</v>
      </c>
      <c r="N466" s="265">
        <f t="shared" si="74"/>
        <v>0</v>
      </c>
      <c r="O466" s="245">
        <f t="shared" si="74"/>
        <v>0</v>
      </c>
      <c r="P466" s="245">
        <f t="shared" si="74"/>
        <v>0</v>
      </c>
      <c r="Q466" s="245">
        <f t="shared" si="74"/>
        <v>0</v>
      </c>
    </row>
    <row r="467" spans="1:17">
      <c r="F467" s="255"/>
      <c r="G467" s="485"/>
      <c r="H467" s="244"/>
      <c r="I467" s="244" t="s">
        <v>1</v>
      </c>
      <c r="J467" s="538"/>
      <c r="K467" s="244"/>
      <c r="L467" s="241"/>
      <c r="M467" s="241"/>
      <c r="N467" s="241"/>
      <c r="O467" s="210"/>
      <c r="P467" s="210"/>
      <c r="Q467" s="210"/>
    </row>
    <row r="468" spans="1:17">
      <c r="F468" s="255" t="s">
        <v>456</v>
      </c>
      <c r="G468" s="485"/>
      <c r="H468" s="244"/>
      <c r="I468" s="364" t="s">
        <v>1</v>
      </c>
      <c r="J468" s="538"/>
      <c r="K468" s="244"/>
      <c r="L468" s="241"/>
      <c r="M468" s="241"/>
      <c r="N468" s="241"/>
      <c r="O468" s="210"/>
      <c r="P468" s="210"/>
      <c r="Q468" s="210"/>
    </row>
    <row r="469" spans="1:17">
      <c r="F469" s="255" t="s">
        <v>164</v>
      </c>
      <c r="G469" s="361">
        <v>0</v>
      </c>
      <c r="H469" s="238">
        <v>2816000000</v>
      </c>
      <c r="I469" s="364">
        <v>730862725</v>
      </c>
      <c r="J469" s="538"/>
      <c r="K469" s="244"/>
      <c r="L469" s="241"/>
      <c r="M469" s="241"/>
      <c r="N469" s="241"/>
      <c r="O469" s="210"/>
      <c r="P469" s="210"/>
      <c r="Q469" s="210"/>
    </row>
    <row r="470" spans="1:17">
      <c r="F470" s="255" t="s">
        <v>457</v>
      </c>
      <c r="G470" s="486">
        <v>2987000000</v>
      </c>
      <c r="H470" s="244">
        <v>2960800000</v>
      </c>
      <c r="I470" s="364"/>
      <c r="J470" s="538">
        <v>6459981000</v>
      </c>
      <c r="K470" s="238">
        <f>J470-H470</f>
        <v>3499181000</v>
      </c>
      <c r="L470" s="241"/>
      <c r="M470" s="241"/>
      <c r="N470" s="241"/>
      <c r="O470" s="210"/>
      <c r="P470" s="210"/>
      <c r="Q470" s="210"/>
    </row>
    <row r="471" spans="1:17" ht="13.5" thickBot="1">
      <c r="F471" s="256" t="s">
        <v>450</v>
      </c>
      <c r="G471" s="361">
        <v>1350323510</v>
      </c>
      <c r="H471" s="238"/>
      <c r="I471" s="364">
        <v>4103523488.5500002</v>
      </c>
      <c r="J471" s="521"/>
      <c r="K471" s="238">
        <f>J471-H471</f>
        <v>0</v>
      </c>
      <c r="L471" s="241"/>
      <c r="M471" s="241"/>
      <c r="N471" s="240"/>
      <c r="O471" s="210"/>
      <c r="P471" s="210"/>
      <c r="Q471" s="210"/>
    </row>
    <row r="472" spans="1:17" ht="13.5" thickBot="1">
      <c r="F472" s="274" t="s">
        <v>458</v>
      </c>
      <c r="G472" s="265">
        <v>4337323510</v>
      </c>
      <c r="H472" s="245">
        <v>5776800000</v>
      </c>
      <c r="I472" s="245">
        <f>SUM(I469:I471)</f>
        <v>4834386213.5500002</v>
      </c>
      <c r="J472" s="541">
        <f>SUM(J469:J471)</f>
        <v>6459981000</v>
      </c>
      <c r="K472" s="245">
        <f>SUM(K469:K471)</f>
        <v>3499181000</v>
      </c>
      <c r="L472" s="474">
        <f t="shared" ref="L472:Q472" si="75">SUM(L469:L471)</f>
        <v>0</v>
      </c>
      <c r="M472" s="245">
        <f t="shared" si="75"/>
        <v>0</v>
      </c>
      <c r="N472" s="265">
        <f t="shared" si="75"/>
        <v>0</v>
      </c>
      <c r="O472" s="245">
        <f t="shared" si="75"/>
        <v>0</v>
      </c>
      <c r="P472" s="245">
        <f t="shared" si="75"/>
        <v>0</v>
      </c>
      <c r="Q472" s="245">
        <f t="shared" si="75"/>
        <v>0</v>
      </c>
    </row>
    <row r="473" spans="1:17" ht="13.5" thickBot="1">
      <c r="F473" s="256"/>
      <c r="G473" s="490"/>
      <c r="H473" s="238" t="s">
        <v>1</v>
      </c>
      <c r="I473" s="238" t="s">
        <v>1</v>
      </c>
      <c r="J473" s="518" t="s">
        <v>1</v>
      </c>
      <c r="K473" s="238"/>
      <c r="L473" s="241"/>
      <c r="M473" s="241"/>
      <c r="N473" s="240"/>
      <c r="O473" s="210"/>
      <c r="P473" s="210"/>
      <c r="Q473" s="210"/>
    </row>
    <row r="474" spans="1:17" ht="13.5" thickBot="1">
      <c r="F474" s="274" t="s">
        <v>459</v>
      </c>
      <c r="G474" s="265">
        <v>4473023510</v>
      </c>
      <c r="H474" s="245">
        <v>5925500000</v>
      </c>
      <c r="I474" s="245">
        <f>I472+I466</f>
        <v>4834386213.5500002</v>
      </c>
      <c r="J474" s="541">
        <f>J472+J466</f>
        <v>11368281000</v>
      </c>
      <c r="K474" s="245">
        <f>K472+K466</f>
        <v>3499181000</v>
      </c>
      <c r="L474" s="474">
        <f t="shared" ref="L474:Q474" si="76">L472+L466</f>
        <v>0</v>
      </c>
      <c r="M474" s="245" t="e">
        <f t="shared" si="76"/>
        <v>#REF!</v>
      </c>
      <c r="N474" s="265">
        <f t="shared" si="76"/>
        <v>0</v>
      </c>
      <c r="O474" s="245">
        <f t="shared" si="76"/>
        <v>0</v>
      </c>
      <c r="P474" s="245">
        <f t="shared" si="76"/>
        <v>0</v>
      </c>
      <c r="Q474" s="245">
        <f t="shared" si="76"/>
        <v>0</v>
      </c>
    </row>
    <row r="475" spans="1:17">
      <c r="F475" s="256"/>
      <c r="G475" s="490"/>
      <c r="H475" s="238"/>
      <c r="I475" s="238" t="s">
        <v>1</v>
      </c>
      <c r="J475" s="521"/>
      <c r="K475" s="238"/>
      <c r="L475" s="241"/>
      <c r="M475" s="241"/>
      <c r="N475" s="240"/>
      <c r="O475" s="210"/>
      <c r="P475" s="210"/>
      <c r="Q475" s="210"/>
    </row>
    <row r="476" spans="1:17" s="374" customFormat="1">
      <c r="A476" s="375"/>
      <c r="B476" s="229"/>
      <c r="C476" s="229"/>
      <c r="D476" s="229"/>
      <c r="E476" s="229"/>
      <c r="F476" s="257" t="s">
        <v>157</v>
      </c>
      <c r="G476" s="493"/>
      <c r="H476" s="369"/>
      <c r="I476" s="369" t="s">
        <v>1</v>
      </c>
      <c r="J476" s="563"/>
      <c r="K476" s="369"/>
      <c r="L476" s="371"/>
      <c r="M476" s="371"/>
      <c r="N476" s="372"/>
      <c r="O476" s="373"/>
      <c r="P476" s="373"/>
      <c r="Q476" s="373"/>
    </row>
    <row r="477" spans="1:17">
      <c r="F477" s="256"/>
      <c r="G477" s="490"/>
      <c r="H477" s="238"/>
      <c r="I477" s="238" t="s">
        <v>1</v>
      </c>
      <c r="J477" s="521"/>
      <c r="K477" s="238"/>
      <c r="L477" s="241"/>
      <c r="M477" s="241"/>
      <c r="N477" s="240"/>
      <c r="O477" s="210"/>
      <c r="P477" s="210"/>
      <c r="Q477" s="210"/>
    </row>
    <row r="478" spans="1:17">
      <c r="F478" s="255" t="s">
        <v>158</v>
      </c>
      <c r="G478" s="490"/>
      <c r="H478" s="238"/>
      <c r="I478" s="238" t="s">
        <v>1</v>
      </c>
      <c r="J478" s="538"/>
      <c r="K478" s="238"/>
      <c r="L478" s="241"/>
      <c r="M478" s="241"/>
      <c r="N478" s="240"/>
      <c r="O478" s="210"/>
      <c r="P478" s="210"/>
      <c r="Q478" s="210"/>
    </row>
    <row r="479" spans="1:17">
      <c r="F479" s="255" t="s">
        <v>159</v>
      </c>
      <c r="G479" s="490"/>
      <c r="H479" s="238"/>
      <c r="I479" s="238"/>
      <c r="J479" s="538"/>
      <c r="K479" s="238"/>
      <c r="L479" s="241"/>
      <c r="M479" s="241"/>
      <c r="N479" s="240"/>
      <c r="O479" s="210"/>
      <c r="P479" s="210"/>
      <c r="Q479" s="210"/>
    </row>
    <row r="480" spans="1:17">
      <c r="A480" s="128">
        <v>2018</v>
      </c>
      <c r="B480" s="130" t="s">
        <v>196</v>
      </c>
      <c r="C480" s="129">
        <v>51</v>
      </c>
      <c r="D480" s="130" t="s">
        <v>215</v>
      </c>
      <c r="E480" s="130" t="s">
        <v>208</v>
      </c>
      <c r="F480" s="256" t="s">
        <v>160</v>
      </c>
      <c r="G480" s="490">
        <v>4070100000</v>
      </c>
      <c r="H480" s="238">
        <v>7434000000</v>
      </c>
      <c r="I480" s="238"/>
      <c r="J480" s="521"/>
      <c r="K480" s="238">
        <f t="shared" ref="K480:K492" si="77">J480-H480</f>
        <v>-7434000000</v>
      </c>
      <c r="L480" s="241">
        <f>SUM(L465:L466)</f>
        <v>0</v>
      </c>
      <c r="M480" s="241" t="e">
        <f>M465</f>
        <v>#REF!</v>
      </c>
      <c r="N480" s="240"/>
      <c r="O480" s="210"/>
      <c r="P480" s="210"/>
      <c r="Q480" s="210"/>
    </row>
    <row r="481" spans="1:18">
      <c r="A481" s="128">
        <v>2018</v>
      </c>
      <c r="B481" s="130" t="s">
        <v>196</v>
      </c>
      <c r="C481" s="129">
        <v>51</v>
      </c>
      <c r="D481" s="130" t="s">
        <v>215</v>
      </c>
      <c r="E481" s="130" t="s">
        <v>215</v>
      </c>
      <c r="F481" s="256" t="s">
        <v>161</v>
      </c>
      <c r="G481" s="361">
        <v>10175250000</v>
      </c>
      <c r="H481" s="238">
        <v>14868000000</v>
      </c>
      <c r="I481" s="330">
        <v>26591740.719999999</v>
      </c>
      <c r="J481" s="521">
        <f>30000000*157.18</f>
        <v>4715400000</v>
      </c>
      <c r="K481" s="238">
        <f t="shared" si="77"/>
        <v>-10152600000</v>
      </c>
      <c r="L481" s="241"/>
      <c r="M481" s="241"/>
      <c r="N481" s="240"/>
      <c r="O481" s="210"/>
      <c r="P481" s="210"/>
      <c r="Q481" s="210"/>
    </row>
    <row r="482" spans="1:18">
      <c r="A482" s="128">
        <v>2018</v>
      </c>
      <c r="B482" s="130" t="s">
        <v>196</v>
      </c>
      <c r="C482" s="129">
        <v>51</v>
      </c>
      <c r="D482" s="130" t="s">
        <v>215</v>
      </c>
      <c r="E482" s="130" t="s">
        <v>207</v>
      </c>
      <c r="F482" s="256" t="s">
        <v>162</v>
      </c>
      <c r="G482" s="361">
        <v>0</v>
      </c>
      <c r="H482" s="238"/>
      <c r="I482" s="330"/>
      <c r="J482" s="521"/>
      <c r="K482" s="238">
        <f t="shared" si="77"/>
        <v>0</v>
      </c>
      <c r="L482" s="241"/>
      <c r="M482" s="241"/>
      <c r="N482" s="240"/>
      <c r="O482" s="210"/>
      <c r="P482" s="210"/>
      <c r="Q482" s="210"/>
    </row>
    <row r="483" spans="1:18">
      <c r="A483" s="128">
        <v>2018</v>
      </c>
      <c r="B483" s="130" t="s">
        <v>196</v>
      </c>
      <c r="C483" s="129">
        <v>51</v>
      </c>
      <c r="D483" s="130" t="s">
        <v>215</v>
      </c>
      <c r="E483" s="130" t="s">
        <v>221</v>
      </c>
      <c r="F483" s="256" t="s">
        <v>163</v>
      </c>
      <c r="G483" s="361">
        <v>0</v>
      </c>
      <c r="H483" s="238"/>
      <c r="I483" s="330"/>
      <c r="J483" s="521"/>
      <c r="K483" s="238">
        <f t="shared" si="77"/>
        <v>0</v>
      </c>
      <c r="L483" s="241"/>
      <c r="M483" s="241"/>
      <c r="N483" s="240"/>
      <c r="O483" s="210"/>
      <c r="P483" s="210"/>
      <c r="Q483" s="210"/>
    </row>
    <row r="484" spans="1:18">
      <c r="A484" s="128">
        <v>2018</v>
      </c>
      <c r="B484" s="130" t="s">
        <v>196</v>
      </c>
      <c r="C484" s="129">
        <v>51</v>
      </c>
      <c r="D484" s="130" t="s">
        <v>215</v>
      </c>
      <c r="E484" s="138" t="s">
        <v>231</v>
      </c>
      <c r="F484" s="256" t="s">
        <v>164</v>
      </c>
      <c r="G484" s="361">
        <v>0</v>
      </c>
      <c r="H484" s="238"/>
      <c r="I484" s="330"/>
      <c r="J484" s="521"/>
      <c r="K484" s="238">
        <f t="shared" si="77"/>
        <v>0</v>
      </c>
      <c r="L484" s="241">
        <f>SUM(J484:J484)</f>
        <v>0</v>
      </c>
      <c r="M484" s="241" t="e">
        <f>#REF!-#REF!</f>
        <v>#REF!</v>
      </c>
      <c r="N484" s="240"/>
      <c r="O484" s="210"/>
      <c r="P484" s="210"/>
      <c r="Q484" s="210"/>
    </row>
    <row r="485" spans="1:18">
      <c r="A485" s="128">
        <v>2018</v>
      </c>
      <c r="B485" s="130" t="s">
        <v>196</v>
      </c>
      <c r="C485" s="129">
        <v>51</v>
      </c>
      <c r="D485" s="130" t="s">
        <v>215</v>
      </c>
      <c r="E485" s="130" t="s">
        <v>209</v>
      </c>
      <c r="F485" s="256" t="s">
        <v>165</v>
      </c>
      <c r="G485" s="361">
        <v>0</v>
      </c>
      <c r="H485" s="238"/>
      <c r="I485" s="330">
        <v>2700539000</v>
      </c>
      <c r="J485" s="521"/>
      <c r="K485" s="238">
        <f t="shared" si="77"/>
        <v>0</v>
      </c>
      <c r="L485" s="241">
        <f>SUM(J485:J485)</f>
        <v>0</v>
      </c>
      <c r="M485" s="241" t="e">
        <f>#REF!-#REF!</f>
        <v>#REF!</v>
      </c>
      <c r="N485" s="240"/>
      <c r="O485" s="210"/>
      <c r="P485" s="210"/>
      <c r="Q485" s="210"/>
    </row>
    <row r="486" spans="1:18">
      <c r="A486" s="128">
        <v>2018</v>
      </c>
      <c r="B486" s="130" t="s">
        <v>196</v>
      </c>
      <c r="C486" s="129">
        <v>51</v>
      </c>
      <c r="D486" s="130" t="s">
        <v>215</v>
      </c>
      <c r="E486" s="129">
        <v>10</v>
      </c>
      <c r="F486" s="256" t="s">
        <v>166</v>
      </c>
      <c r="G486" s="361">
        <v>0</v>
      </c>
      <c r="H486" s="238"/>
      <c r="I486" s="330"/>
      <c r="J486" s="521"/>
      <c r="K486" s="238">
        <f t="shared" si="77"/>
        <v>0</v>
      </c>
      <c r="L486" s="241"/>
      <c r="M486" s="241"/>
      <c r="N486" s="240"/>
      <c r="O486" s="210"/>
      <c r="P486" s="210"/>
      <c r="Q486" s="210"/>
    </row>
    <row r="487" spans="1:18" s="374" customFormat="1">
      <c r="A487" s="375">
        <v>2018</v>
      </c>
      <c r="B487" s="367" t="s">
        <v>196</v>
      </c>
      <c r="C487" s="229">
        <v>51</v>
      </c>
      <c r="D487" s="367" t="s">
        <v>215</v>
      </c>
      <c r="E487" s="367" t="s">
        <v>226</v>
      </c>
      <c r="F487" s="368" t="s">
        <v>167</v>
      </c>
      <c r="G487" s="487">
        <v>0</v>
      </c>
      <c r="H487" s="369"/>
      <c r="I487" s="370"/>
      <c r="J487" s="560"/>
      <c r="K487" s="369">
        <f t="shared" si="77"/>
        <v>0</v>
      </c>
      <c r="L487" s="371">
        <f>SUM(L484:L486)</f>
        <v>0</v>
      </c>
      <c r="M487" s="371" t="e">
        <f>M485+M484</f>
        <v>#REF!</v>
      </c>
      <c r="N487" s="372"/>
      <c r="O487" s="373"/>
      <c r="P487" s="373"/>
      <c r="Q487" s="373"/>
    </row>
    <row r="488" spans="1:18">
      <c r="A488" s="128">
        <v>2018</v>
      </c>
      <c r="B488" s="130" t="s">
        <v>196</v>
      </c>
      <c r="C488" s="129">
        <v>51</v>
      </c>
      <c r="D488" s="130" t="s">
        <v>215</v>
      </c>
      <c r="E488" s="130" t="s">
        <v>203</v>
      </c>
      <c r="F488" s="256" t="s">
        <v>168</v>
      </c>
      <c r="G488" s="361">
        <v>0</v>
      </c>
      <c r="H488" s="238"/>
      <c r="I488" s="330"/>
      <c r="J488" s="521"/>
      <c r="K488" s="238">
        <f t="shared" si="77"/>
        <v>0</v>
      </c>
      <c r="L488" s="241"/>
      <c r="M488" s="241"/>
      <c r="N488" s="240"/>
      <c r="O488" s="210"/>
      <c r="P488" s="210"/>
      <c r="Q488" s="210"/>
    </row>
    <row r="489" spans="1:18">
      <c r="A489" s="128">
        <v>2018</v>
      </c>
      <c r="B489" s="130" t="s">
        <v>196</v>
      </c>
      <c r="C489" s="129">
        <v>51</v>
      </c>
      <c r="D489" s="130" t="s">
        <v>215</v>
      </c>
      <c r="E489" s="129">
        <v>11</v>
      </c>
      <c r="F489" s="256" t="s">
        <v>169</v>
      </c>
      <c r="G489" s="361">
        <v>0</v>
      </c>
      <c r="H489" s="238"/>
      <c r="I489" s="330"/>
      <c r="J489" s="521"/>
      <c r="K489" s="238">
        <f t="shared" si="77"/>
        <v>0</v>
      </c>
      <c r="L489" s="241">
        <f>SUM(J489:J489)</f>
        <v>0</v>
      </c>
      <c r="M489" s="241" t="e">
        <f>M487+M486</f>
        <v>#REF!</v>
      </c>
      <c r="N489" s="240"/>
      <c r="O489" s="210"/>
      <c r="P489" s="210"/>
      <c r="Q489" s="210"/>
    </row>
    <row r="490" spans="1:18">
      <c r="A490" s="128">
        <v>2018</v>
      </c>
      <c r="B490" s="130" t="s">
        <v>196</v>
      </c>
      <c r="C490" s="129">
        <v>51</v>
      </c>
      <c r="D490" s="130" t="s">
        <v>215</v>
      </c>
      <c r="E490" s="130" t="s">
        <v>200</v>
      </c>
      <c r="F490" s="256" t="s">
        <v>170</v>
      </c>
      <c r="G490" s="361">
        <v>0</v>
      </c>
      <c r="H490" s="238"/>
      <c r="I490" s="330"/>
      <c r="J490" s="521"/>
      <c r="K490" s="238">
        <f t="shared" si="77"/>
        <v>0</v>
      </c>
      <c r="L490" s="241"/>
      <c r="M490" s="241"/>
      <c r="N490" s="240"/>
      <c r="O490" s="210"/>
      <c r="P490" s="210"/>
      <c r="Q490" s="210"/>
    </row>
    <row r="491" spans="1:18">
      <c r="A491" s="128">
        <v>2018</v>
      </c>
      <c r="B491" s="130" t="s">
        <v>196</v>
      </c>
      <c r="C491" s="129">
        <v>51</v>
      </c>
      <c r="D491" s="130" t="s">
        <v>215</v>
      </c>
      <c r="E491" s="130" t="s">
        <v>208</v>
      </c>
      <c r="F491" s="256" t="s">
        <v>433</v>
      </c>
      <c r="G491" s="361">
        <v>5689410000</v>
      </c>
      <c r="H491" s="238"/>
      <c r="I491" s="330">
        <v>9482985418.75</v>
      </c>
      <c r="J491" s="521"/>
      <c r="K491" s="238">
        <f t="shared" si="77"/>
        <v>0</v>
      </c>
      <c r="L491" s="241"/>
      <c r="M491" s="241"/>
      <c r="N491" s="240"/>
      <c r="O491" s="210"/>
      <c r="P491" s="210"/>
      <c r="Q491" s="210"/>
    </row>
    <row r="492" spans="1:18" s="2" customFormat="1" ht="13.5" thickBot="1">
      <c r="A492" s="128">
        <v>2018</v>
      </c>
      <c r="B492" s="130" t="s">
        <v>196</v>
      </c>
      <c r="C492" s="129">
        <v>51</v>
      </c>
      <c r="D492" s="162" t="s">
        <v>207</v>
      </c>
      <c r="E492" s="142">
        <v>99</v>
      </c>
      <c r="F492" s="256" t="s">
        <v>17</v>
      </c>
      <c r="G492" s="361">
        <v>6499170000</v>
      </c>
      <c r="H492" s="369"/>
      <c r="I492" s="370">
        <v>250146000</v>
      </c>
      <c r="J492" s="560">
        <v>27367100000</v>
      </c>
      <c r="K492" s="238">
        <f t="shared" si="77"/>
        <v>27367100000</v>
      </c>
      <c r="L492" s="241"/>
      <c r="M492" s="241"/>
      <c r="N492" s="248"/>
      <c r="O492" s="210"/>
      <c r="P492" s="210"/>
      <c r="Q492" s="210"/>
      <c r="R492" s="1"/>
    </row>
    <row r="493" spans="1:18" s="2" customFormat="1" ht="13.5" thickBot="1">
      <c r="A493" s="128"/>
      <c r="B493" s="130"/>
      <c r="C493" s="142"/>
      <c r="D493" s="142"/>
      <c r="E493" s="142"/>
      <c r="F493" s="274" t="s">
        <v>437</v>
      </c>
      <c r="G493" s="245">
        <v>26433930000</v>
      </c>
      <c r="H493" s="377">
        <v>22302000000</v>
      </c>
      <c r="I493" s="491">
        <f>SUM(I480:I492)</f>
        <v>12460262159.469999</v>
      </c>
      <c r="J493" s="556">
        <f>SUM(J480:J492)</f>
        <v>32082500000</v>
      </c>
      <c r="K493" s="245">
        <f>SUM(K480:K492)</f>
        <v>9780500000</v>
      </c>
      <c r="L493" s="474">
        <f t="shared" ref="L493:Q493" si="78">SUM(L480:L492)</f>
        <v>0</v>
      </c>
      <c r="M493" s="245" t="e">
        <f t="shared" si="78"/>
        <v>#REF!</v>
      </c>
      <c r="N493" s="265">
        <f t="shared" si="78"/>
        <v>0</v>
      </c>
      <c r="O493" s="245">
        <f t="shared" si="78"/>
        <v>0</v>
      </c>
      <c r="P493" s="245">
        <f t="shared" si="78"/>
        <v>0</v>
      </c>
      <c r="Q493" s="245">
        <f t="shared" si="78"/>
        <v>0</v>
      </c>
      <c r="R493" s="1"/>
    </row>
    <row r="494" spans="1:18" s="2" customFormat="1">
      <c r="A494" s="128"/>
      <c r="B494" s="130"/>
      <c r="C494" s="142"/>
      <c r="D494" s="142"/>
      <c r="E494" s="142"/>
      <c r="F494" s="256"/>
      <c r="G494" s="246"/>
      <c r="H494" s="238"/>
      <c r="I494" s="238" t="s">
        <v>1</v>
      </c>
      <c r="J494" s="521"/>
      <c r="K494" s="238"/>
      <c r="L494" s="241"/>
      <c r="M494" s="241"/>
      <c r="N494" s="248"/>
      <c r="O494" s="210"/>
      <c r="P494" s="210"/>
      <c r="Q494" s="210"/>
      <c r="R494" s="1"/>
    </row>
    <row r="495" spans="1:18" s="2" customFormat="1">
      <c r="A495" s="128"/>
      <c r="B495" s="130"/>
      <c r="C495" s="142"/>
      <c r="D495" s="142"/>
      <c r="E495" s="142"/>
      <c r="F495" s="255" t="s">
        <v>357</v>
      </c>
      <c r="G495" s="246"/>
      <c r="H495" s="238"/>
      <c r="I495" s="238" t="s">
        <v>1</v>
      </c>
      <c r="J495" s="538"/>
      <c r="K495" s="238"/>
      <c r="L495" s="241"/>
      <c r="M495" s="241"/>
      <c r="N495" s="248"/>
      <c r="O495" s="210"/>
      <c r="P495" s="210"/>
      <c r="Q495" s="210"/>
      <c r="R495" s="1"/>
    </row>
    <row r="496" spans="1:18">
      <c r="A496" s="128">
        <v>2018</v>
      </c>
      <c r="B496" s="130" t="s">
        <v>196</v>
      </c>
      <c r="C496" s="129">
        <v>51</v>
      </c>
      <c r="D496" s="130" t="s">
        <v>207</v>
      </c>
      <c r="E496" s="130" t="s">
        <v>208</v>
      </c>
      <c r="F496" s="256" t="s">
        <v>171</v>
      </c>
      <c r="G496" s="238">
        <v>7944570000</v>
      </c>
      <c r="H496" s="238"/>
      <c r="I496" s="330">
        <v>12213266000</v>
      </c>
      <c r="J496" s="521"/>
      <c r="K496" s="238">
        <f>J496-H496</f>
        <v>0</v>
      </c>
      <c r="L496" s="241"/>
      <c r="M496" s="241"/>
      <c r="N496" s="240"/>
      <c r="O496" s="210"/>
      <c r="P496" s="210"/>
      <c r="Q496" s="210"/>
    </row>
    <row r="497" spans="1:17">
      <c r="A497" s="128">
        <v>2018</v>
      </c>
      <c r="B497" s="130" t="s">
        <v>196</v>
      </c>
      <c r="C497" s="129">
        <v>51</v>
      </c>
      <c r="D497" s="130" t="s">
        <v>207</v>
      </c>
      <c r="E497" s="130" t="s">
        <v>215</v>
      </c>
      <c r="F497" s="256" t="s">
        <v>172</v>
      </c>
      <c r="G497" s="238">
        <v>0</v>
      </c>
      <c r="H497" s="238"/>
      <c r="I497" s="330" t="s">
        <v>1</v>
      </c>
      <c r="J497" s="521"/>
      <c r="K497" s="238"/>
      <c r="L497" s="241">
        <f>SUM(J497:J497)</f>
        <v>0</v>
      </c>
      <c r="M497" s="241" t="e">
        <f>#REF!-#REF!</f>
        <v>#REF!</v>
      </c>
      <c r="N497" s="240"/>
      <c r="O497" s="210"/>
      <c r="P497" s="210"/>
      <c r="Q497" s="210"/>
    </row>
    <row r="498" spans="1:17">
      <c r="A498" s="128">
        <v>2018</v>
      </c>
      <c r="B498" s="130" t="s">
        <v>196</v>
      </c>
      <c r="C498" s="129">
        <v>51</v>
      </c>
      <c r="D498" s="130" t="s">
        <v>207</v>
      </c>
      <c r="E498" s="129">
        <v>11</v>
      </c>
      <c r="F498" s="256" t="s">
        <v>173</v>
      </c>
      <c r="G498" s="238">
        <v>0</v>
      </c>
      <c r="H498" s="238"/>
      <c r="I498" s="330" t="s">
        <v>1</v>
      </c>
      <c r="J498" s="521"/>
      <c r="K498" s="238"/>
      <c r="L498" s="241"/>
      <c r="M498" s="241"/>
      <c r="N498" s="240"/>
      <c r="O498" s="210"/>
      <c r="P498" s="210"/>
      <c r="Q498" s="210"/>
    </row>
    <row r="499" spans="1:17">
      <c r="A499" s="128">
        <v>2018</v>
      </c>
      <c r="B499" s="130" t="s">
        <v>196</v>
      </c>
      <c r="C499" s="129">
        <v>51</v>
      </c>
      <c r="D499" s="130" t="s">
        <v>207</v>
      </c>
      <c r="E499" s="129">
        <v>10</v>
      </c>
      <c r="F499" s="256" t="s">
        <v>174</v>
      </c>
      <c r="G499" s="238">
        <v>0</v>
      </c>
      <c r="H499" s="238"/>
      <c r="I499" s="330" t="s">
        <v>1</v>
      </c>
      <c r="J499" s="521"/>
      <c r="K499" s="238"/>
      <c r="L499" s="241">
        <f>SUM(L497:L498)</f>
        <v>0</v>
      </c>
      <c r="M499" s="249" t="e">
        <f>+M497</f>
        <v>#REF!</v>
      </c>
      <c r="N499" s="240"/>
      <c r="O499" s="210"/>
      <c r="P499" s="210"/>
      <c r="Q499" s="210"/>
    </row>
    <row r="500" spans="1:17">
      <c r="A500" s="128">
        <v>2018</v>
      </c>
      <c r="B500" s="130" t="s">
        <v>196</v>
      </c>
      <c r="C500" s="129">
        <v>51</v>
      </c>
      <c r="D500" s="130" t="s">
        <v>207</v>
      </c>
      <c r="E500" s="129">
        <v>12</v>
      </c>
      <c r="F500" s="256" t="s">
        <v>175</v>
      </c>
      <c r="G500" s="238">
        <v>0</v>
      </c>
      <c r="H500" s="238"/>
      <c r="I500" s="330" t="s">
        <v>1</v>
      </c>
      <c r="J500" s="521"/>
      <c r="K500" s="238"/>
      <c r="L500" s="241"/>
      <c r="M500" s="241"/>
      <c r="N500" s="240"/>
      <c r="O500" s="210"/>
      <c r="P500" s="210"/>
      <c r="Q500" s="210"/>
    </row>
    <row r="501" spans="1:17">
      <c r="A501" s="128">
        <v>2018</v>
      </c>
      <c r="B501" s="130" t="s">
        <v>196</v>
      </c>
      <c r="C501" s="129">
        <v>51</v>
      </c>
      <c r="D501" s="130" t="s">
        <v>207</v>
      </c>
      <c r="E501" s="129">
        <v>13</v>
      </c>
      <c r="F501" s="256" t="s">
        <v>176</v>
      </c>
      <c r="G501" s="238">
        <v>0</v>
      </c>
      <c r="H501" s="238"/>
      <c r="I501" s="330" t="s">
        <v>1</v>
      </c>
      <c r="J501" s="521"/>
      <c r="K501" s="238"/>
      <c r="L501" s="241"/>
      <c r="M501" s="241"/>
      <c r="N501" s="240"/>
      <c r="O501" s="210"/>
      <c r="P501" s="210"/>
      <c r="Q501" s="210"/>
    </row>
    <row r="502" spans="1:17">
      <c r="A502" s="128">
        <v>2018</v>
      </c>
      <c r="B502" s="130" t="s">
        <v>196</v>
      </c>
      <c r="C502" s="129">
        <v>51</v>
      </c>
      <c r="D502" s="130" t="s">
        <v>207</v>
      </c>
      <c r="E502" s="129">
        <v>99</v>
      </c>
      <c r="F502" s="256" t="s">
        <v>17</v>
      </c>
      <c r="G502" s="238">
        <v>0</v>
      </c>
      <c r="H502" s="238"/>
      <c r="I502" s="330" t="s">
        <v>1</v>
      </c>
      <c r="J502" s="521"/>
      <c r="K502" s="238"/>
      <c r="L502" s="241"/>
      <c r="M502" s="241"/>
      <c r="N502" s="240"/>
      <c r="O502" s="210"/>
      <c r="P502" s="210"/>
      <c r="Q502" s="210"/>
    </row>
    <row r="503" spans="1:17">
      <c r="B503" s="130"/>
      <c r="F503" s="256"/>
      <c r="G503" s="238"/>
      <c r="H503" s="238"/>
      <c r="I503" s="330" t="s">
        <v>1</v>
      </c>
      <c r="J503" s="521"/>
      <c r="K503" s="238"/>
      <c r="L503" s="241"/>
      <c r="M503" s="241"/>
      <c r="N503" s="240"/>
      <c r="O503" s="210"/>
      <c r="P503" s="210"/>
      <c r="Q503" s="210"/>
    </row>
    <row r="504" spans="1:17">
      <c r="B504" s="130"/>
      <c r="F504" s="255" t="s">
        <v>177</v>
      </c>
      <c r="G504" s="238">
        <v>0</v>
      </c>
      <c r="H504" s="238"/>
      <c r="I504" s="330" t="s">
        <v>1</v>
      </c>
      <c r="J504" s="538"/>
      <c r="K504" s="238"/>
      <c r="L504" s="241"/>
      <c r="M504" s="241"/>
      <c r="N504" s="240"/>
      <c r="O504" s="210"/>
      <c r="P504" s="210"/>
      <c r="Q504" s="210"/>
    </row>
    <row r="505" spans="1:17">
      <c r="A505" s="128">
        <v>2018</v>
      </c>
      <c r="B505" s="130" t="s">
        <v>196</v>
      </c>
      <c r="C505" s="129">
        <v>51</v>
      </c>
      <c r="D505" s="129">
        <v>99</v>
      </c>
      <c r="E505" s="130" t="s">
        <v>208</v>
      </c>
      <c r="F505" s="256" t="s">
        <v>178</v>
      </c>
      <c r="G505" s="238">
        <v>0</v>
      </c>
      <c r="H505" s="238"/>
      <c r="I505" s="330" t="s">
        <v>1</v>
      </c>
      <c r="J505" s="521"/>
      <c r="K505" s="238"/>
      <c r="L505" s="241">
        <f>SUM(J505:J505)</f>
        <v>0</v>
      </c>
      <c r="M505" s="241" t="e">
        <f>#REF!-#REF!</f>
        <v>#REF!</v>
      </c>
      <c r="N505" s="240"/>
      <c r="O505" s="210"/>
      <c r="P505" s="210"/>
      <c r="Q505" s="210"/>
    </row>
    <row r="506" spans="1:17" ht="13.5" thickBot="1">
      <c r="A506" s="128">
        <v>2018</v>
      </c>
      <c r="B506" s="130" t="s">
        <v>196</v>
      </c>
      <c r="C506" s="129">
        <v>51</v>
      </c>
      <c r="D506" s="129">
        <v>99</v>
      </c>
      <c r="E506" s="129">
        <v>99</v>
      </c>
      <c r="F506" s="256" t="s">
        <v>17</v>
      </c>
      <c r="G506" s="238">
        <v>0</v>
      </c>
      <c r="H506" s="238">
        <v>18024100000</v>
      </c>
      <c r="I506" s="330" t="s">
        <v>1</v>
      </c>
      <c r="J506" s="521"/>
      <c r="K506" s="238"/>
      <c r="L506" s="241">
        <f>SUM(J506:J506)</f>
        <v>0</v>
      </c>
      <c r="M506" s="241" t="e">
        <f>#REF!-#REF!</f>
        <v>#REF!</v>
      </c>
      <c r="N506" s="240"/>
      <c r="O506" s="210"/>
      <c r="P506" s="210"/>
      <c r="Q506" s="210"/>
    </row>
    <row r="507" spans="1:17" ht="13.5" thickBot="1">
      <c r="F507" s="274" t="s">
        <v>438</v>
      </c>
      <c r="G507" s="245">
        <v>7944570000</v>
      </c>
      <c r="H507" s="245">
        <v>18024100000</v>
      </c>
      <c r="I507" s="245">
        <f>SUM(I496:I506)</f>
        <v>12213266000</v>
      </c>
      <c r="J507" s="541">
        <f>SUM(J496:J506)</f>
        <v>0</v>
      </c>
      <c r="K507" s="245">
        <f>SUM(K496:K506)</f>
        <v>0</v>
      </c>
      <c r="L507" s="474">
        <f t="shared" ref="L507:Q507" si="79">SUM(L496:L506)</f>
        <v>0</v>
      </c>
      <c r="M507" s="245" t="e">
        <f t="shared" si="79"/>
        <v>#REF!</v>
      </c>
      <c r="N507" s="265">
        <f t="shared" si="79"/>
        <v>0</v>
      </c>
      <c r="O507" s="245">
        <f t="shared" si="79"/>
        <v>0</v>
      </c>
      <c r="P507" s="245">
        <f t="shared" si="79"/>
        <v>0</v>
      </c>
      <c r="Q507" s="245">
        <f t="shared" si="79"/>
        <v>0</v>
      </c>
    </row>
    <row r="508" spans="1:17" ht="13.5" thickBot="1">
      <c r="F508" s="256"/>
      <c r="G508" s="246"/>
      <c r="H508" s="238" t="s">
        <v>1</v>
      </c>
      <c r="I508" s="238" t="s">
        <v>1</v>
      </c>
      <c r="J508" s="518" t="s">
        <v>1</v>
      </c>
      <c r="K508" s="238"/>
      <c r="L508" s="241">
        <f>SUM(J508:J508)</f>
        <v>0</v>
      </c>
      <c r="M508" s="241" t="e">
        <f>#REF!-#REF!</f>
        <v>#REF!</v>
      </c>
      <c r="N508" s="240"/>
      <c r="O508" s="210"/>
      <c r="P508" s="210"/>
      <c r="Q508" s="210"/>
    </row>
    <row r="509" spans="1:17" ht="13.5" thickBot="1">
      <c r="F509" s="274" t="s">
        <v>453</v>
      </c>
      <c r="G509" s="245">
        <v>34378500000</v>
      </c>
      <c r="H509" s="245">
        <v>40326100000</v>
      </c>
      <c r="I509" s="245">
        <f>SUM(I493+I507)</f>
        <v>24673528159.470001</v>
      </c>
      <c r="J509" s="541">
        <f>SUM(J493+J507)</f>
        <v>32082500000</v>
      </c>
      <c r="K509" s="245">
        <f>SUM(K493+K507)</f>
        <v>9780500000</v>
      </c>
      <c r="L509" s="474">
        <f t="shared" ref="L509:Q509" si="80">SUM(L493+L507)</f>
        <v>0</v>
      </c>
      <c r="M509" s="245" t="e">
        <f t="shared" si="80"/>
        <v>#REF!</v>
      </c>
      <c r="N509" s="265">
        <f t="shared" si="80"/>
        <v>0</v>
      </c>
      <c r="O509" s="245">
        <f t="shared" si="80"/>
        <v>0</v>
      </c>
      <c r="P509" s="245">
        <f t="shared" si="80"/>
        <v>0</v>
      </c>
      <c r="Q509" s="245">
        <f t="shared" si="80"/>
        <v>0</v>
      </c>
    </row>
    <row r="510" spans="1:17">
      <c r="F510" s="256"/>
      <c r="G510" s="246"/>
      <c r="H510" s="238"/>
      <c r="I510" s="238" t="s">
        <v>1</v>
      </c>
      <c r="J510" s="521"/>
      <c r="K510" s="238"/>
      <c r="L510" s="241"/>
      <c r="M510" s="241"/>
      <c r="N510" s="240"/>
      <c r="O510" s="210"/>
      <c r="P510" s="210"/>
      <c r="Q510" s="210"/>
    </row>
    <row r="511" spans="1:17">
      <c r="F511" s="255" t="s">
        <v>179</v>
      </c>
      <c r="G511" s="246"/>
      <c r="H511" s="238"/>
      <c r="I511" s="238" t="s">
        <v>1</v>
      </c>
      <c r="J511" s="538"/>
      <c r="K511" s="238"/>
      <c r="L511" s="241">
        <f>SUM(J511:J511)</f>
        <v>0</v>
      </c>
      <c r="M511" s="241" t="e">
        <f>#REF!-#REF!</f>
        <v>#REF!</v>
      </c>
      <c r="N511" s="240"/>
      <c r="O511" s="210"/>
      <c r="P511" s="210"/>
      <c r="Q511" s="210"/>
    </row>
    <row r="512" spans="1:17">
      <c r="A512" s="128">
        <v>2018</v>
      </c>
      <c r="B512" s="130" t="s">
        <v>196</v>
      </c>
      <c r="C512" s="129">
        <v>51</v>
      </c>
      <c r="D512" s="130" t="s">
        <v>208</v>
      </c>
      <c r="E512" s="130" t="s">
        <v>208</v>
      </c>
      <c r="F512" s="256" t="s">
        <v>180</v>
      </c>
      <c r="G512" s="246">
        <v>0</v>
      </c>
      <c r="H512" s="238"/>
      <c r="I512" s="238" t="s">
        <v>1</v>
      </c>
      <c r="J512" s="521"/>
      <c r="K512" s="238"/>
      <c r="L512" s="241">
        <f>SUM(J512:J512)</f>
        <v>0</v>
      </c>
      <c r="M512" s="241" t="e">
        <f>#REF!-#REF!</f>
        <v>#REF!</v>
      </c>
      <c r="N512" s="240"/>
      <c r="O512" s="210"/>
      <c r="P512" s="210"/>
      <c r="Q512" s="210"/>
    </row>
    <row r="513" spans="1:17">
      <c r="A513" s="128">
        <v>2018</v>
      </c>
      <c r="B513" s="130" t="s">
        <v>196</v>
      </c>
      <c r="C513" s="129">
        <v>51</v>
      </c>
      <c r="D513" s="130" t="s">
        <v>208</v>
      </c>
      <c r="E513" s="130" t="s">
        <v>215</v>
      </c>
      <c r="F513" s="272" t="s">
        <v>181</v>
      </c>
      <c r="G513" s="238">
        <v>109224430000</v>
      </c>
      <c r="H513" s="238">
        <v>89979500000</v>
      </c>
      <c r="I513" s="330">
        <f>53652708960.72+16457504806.23</f>
        <v>70110213766.949997</v>
      </c>
      <c r="J513" s="522">
        <v>92047600000</v>
      </c>
      <c r="K513" s="238">
        <f>J513-H513</f>
        <v>2068100000</v>
      </c>
      <c r="L513" s="241">
        <f>SUM(J513:J513)</f>
        <v>92047600000</v>
      </c>
      <c r="M513" s="241" t="e">
        <f>#REF!-#REF!</f>
        <v>#REF!</v>
      </c>
      <c r="N513" s="240"/>
      <c r="O513" s="210"/>
      <c r="P513" s="210"/>
      <c r="Q513" s="210"/>
    </row>
    <row r="514" spans="1:17">
      <c r="A514" s="128">
        <v>2018</v>
      </c>
      <c r="B514" s="130" t="s">
        <v>196</v>
      </c>
      <c r="C514" s="129">
        <v>51</v>
      </c>
      <c r="D514" s="130" t="s">
        <v>208</v>
      </c>
      <c r="E514" s="130" t="s">
        <v>207</v>
      </c>
      <c r="F514" s="256" t="s">
        <v>182</v>
      </c>
      <c r="G514" s="238">
        <v>0</v>
      </c>
      <c r="H514" s="238"/>
      <c r="I514" s="330"/>
      <c r="J514" s="521"/>
      <c r="K514" s="238">
        <f>J514-H514</f>
        <v>0</v>
      </c>
      <c r="L514" s="241">
        <f>SUM(J514:J514)</f>
        <v>0</v>
      </c>
      <c r="M514" s="241" t="e">
        <f>#REF!-#REF!</f>
        <v>#REF!</v>
      </c>
      <c r="N514" s="240"/>
      <c r="O514" s="210"/>
      <c r="P514" s="210"/>
      <c r="Q514" s="210"/>
    </row>
    <row r="515" spans="1:17" ht="13.5" thickBot="1">
      <c r="A515" s="128">
        <v>2018</v>
      </c>
      <c r="B515" s="130" t="s">
        <v>196</v>
      </c>
      <c r="C515" s="129">
        <v>51</v>
      </c>
      <c r="D515" s="129">
        <v>99</v>
      </c>
      <c r="E515" s="129">
        <v>99</v>
      </c>
      <c r="F515" s="256" t="s">
        <v>17</v>
      </c>
      <c r="G515" s="238">
        <v>0</v>
      </c>
      <c r="H515" s="238"/>
      <c r="I515" s="330">
        <v>8918347915.0200005</v>
      </c>
      <c r="J515" s="521"/>
      <c r="K515" s="238">
        <f>J515-H515</f>
        <v>0</v>
      </c>
      <c r="L515" s="241">
        <f>SUM(J515:J515)</f>
        <v>0</v>
      </c>
      <c r="M515" s="241" t="e">
        <f>#REF!-#REF!</f>
        <v>#REF!</v>
      </c>
      <c r="N515" s="240"/>
      <c r="O515" s="210"/>
      <c r="P515" s="210"/>
      <c r="Q515" s="210"/>
    </row>
    <row r="516" spans="1:17" ht="13.5" thickBot="1">
      <c r="F516" s="274" t="s">
        <v>358</v>
      </c>
      <c r="G516" s="245">
        <v>109224430000</v>
      </c>
      <c r="H516" s="245">
        <v>89979500000</v>
      </c>
      <c r="I516" s="245">
        <f>SUM(I513:I515)</f>
        <v>79028561681.970001</v>
      </c>
      <c r="J516" s="541">
        <f>SUM(J513:J515)</f>
        <v>92047600000</v>
      </c>
      <c r="K516" s="245">
        <f>SUM(K513:K515)</f>
        <v>2068100000</v>
      </c>
      <c r="L516" s="474">
        <f t="shared" ref="L516:Q516" si="81">SUM(L513:L515)</f>
        <v>92047600000</v>
      </c>
      <c r="M516" s="245" t="e">
        <f t="shared" si="81"/>
        <v>#REF!</v>
      </c>
      <c r="N516" s="265">
        <f t="shared" si="81"/>
        <v>0</v>
      </c>
      <c r="O516" s="245">
        <f t="shared" si="81"/>
        <v>0</v>
      </c>
      <c r="P516" s="245">
        <f t="shared" si="81"/>
        <v>0</v>
      </c>
      <c r="Q516" s="245">
        <f t="shared" si="81"/>
        <v>0</v>
      </c>
    </row>
    <row r="517" spans="1:17" ht="13.5" thickBot="1">
      <c r="F517" s="256"/>
      <c r="G517" s="246"/>
      <c r="H517" s="238" t="s">
        <v>1</v>
      </c>
      <c r="I517" s="238" t="s">
        <v>1</v>
      </c>
      <c r="J517" s="518" t="s">
        <v>1</v>
      </c>
      <c r="K517" s="238"/>
      <c r="L517" s="241"/>
      <c r="M517" s="241"/>
      <c r="N517" s="240"/>
      <c r="O517" s="210"/>
      <c r="P517" s="210"/>
      <c r="Q517" s="210"/>
    </row>
    <row r="518" spans="1:17" ht="16.5" thickBot="1">
      <c r="A518" s="1"/>
      <c r="B518" s="1"/>
      <c r="C518" s="1"/>
      <c r="D518" s="1"/>
      <c r="E518" s="1"/>
      <c r="F518" s="273" t="s">
        <v>439</v>
      </c>
      <c r="G518" s="245">
        <v>143602930000</v>
      </c>
      <c r="H518" s="245">
        <v>130305600000</v>
      </c>
      <c r="I518" s="245">
        <f>I516+I509</f>
        <v>103702089841.44</v>
      </c>
      <c r="J518" s="541">
        <f>J516+J509</f>
        <v>124130100000</v>
      </c>
      <c r="K518" s="245">
        <f>K516+K509</f>
        <v>11848600000</v>
      </c>
      <c r="L518" s="474">
        <f t="shared" ref="L518:Q518" si="82">L516+L509</f>
        <v>92047600000</v>
      </c>
      <c r="M518" s="245" t="e">
        <f t="shared" si="82"/>
        <v>#REF!</v>
      </c>
      <c r="N518" s="265">
        <f t="shared" si="82"/>
        <v>0</v>
      </c>
      <c r="O518" s="245">
        <f t="shared" si="82"/>
        <v>0</v>
      </c>
      <c r="P518" s="245">
        <f t="shared" si="82"/>
        <v>0</v>
      </c>
      <c r="Q518" s="245">
        <f t="shared" si="82"/>
        <v>0</v>
      </c>
    </row>
    <row r="519" spans="1:17">
      <c r="A519" s="1"/>
      <c r="B519" s="1"/>
      <c r="C519" s="1"/>
      <c r="D519" s="1"/>
      <c r="E519" s="1"/>
      <c r="F519" s="277"/>
      <c r="G519" s="246"/>
      <c r="H519" s="238"/>
      <c r="I519" s="238"/>
      <c r="J519" s="564"/>
      <c r="K519" s="238"/>
      <c r="L519" s="241"/>
      <c r="M519" s="241"/>
      <c r="N519" s="240"/>
      <c r="O519" s="210"/>
      <c r="P519" s="210"/>
      <c r="Q519" s="210"/>
    </row>
    <row r="520" spans="1:17" hidden="1">
      <c r="A520" s="1"/>
      <c r="B520" s="1"/>
      <c r="C520" s="1"/>
      <c r="D520" s="1"/>
      <c r="E520" s="1"/>
      <c r="F520" s="256"/>
      <c r="G520" s="182" t="s">
        <v>2</v>
      </c>
      <c r="H520" s="251" t="s">
        <v>3</v>
      </c>
      <c r="I520" s="250" t="s">
        <v>2</v>
      </c>
      <c r="J520" s="521"/>
      <c r="K520" s="251"/>
      <c r="L520" s="241"/>
      <c r="M520" s="241"/>
      <c r="N520" s="240"/>
      <c r="O520" s="210"/>
      <c r="P520" s="210"/>
      <c r="Q520" s="210"/>
    </row>
    <row r="521" spans="1:17" hidden="1">
      <c r="A521" s="1"/>
      <c r="B521" s="1"/>
      <c r="C521" s="1"/>
      <c r="D521" s="1"/>
      <c r="E521" s="1"/>
      <c r="F521" s="278"/>
      <c r="G521" s="182" t="s">
        <v>469</v>
      </c>
      <c r="H521" s="183" t="s">
        <v>528</v>
      </c>
      <c r="I521" s="250" t="s">
        <v>469</v>
      </c>
      <c r="J521" s="565"/>
      <c r="K521" s="251" t="s">
        <v>468</v>
      </c>
      <c r="L521" s="241"/>
      <c r="M521" s="241"/>
      <c r="N521" s="240"/>
      <c r="O521" s="210"/>
      <c r="P521" s="210"/>
      <c r="Q521" s="210"/>
    </row>
    <row r="522" spans="1:17" hidden="1">
      <c r="A522" s="1"/>
      <c r="B522" s="1"/>
      <c r="C522" s="1"/>
      <c r="D522" s="1"/>
      <c r="E522" s="1"/>
      <c r="F522" s="275" t="s">
        <v>238</v>
      </c>
      <c r="G522" s="176" t="s">
        <v>521</v>
      </c>
      <c r="H522" s="252" t="s">
        <v>435</v>
      </c>
      <c r="I522" s="253" t="s">
        <v>567</v>
      </c>
      <c r="J522" s="566"/>
      <c r="K522" s="251" t="s">
        <v>440</v>
      </c>
      <c r="L522" s="241"/>
      <c r="M522" s="241"/>
      <c r="N522" s="240"/>
      <c r="O522" s="210"/>
      <c r="P522" s="210"/>
      <c r="Q522" s="210"/>
    </row>
    <row r="523" spans="1:17" hidden="1">
      <c r="A523" s="1"/>
      <c r="B523" s="1"/>
      <c r="C523" s="1"/>
      <c r="D523" s="1"/>
      <c r="E523" s="1"/>
      <c r="F523" s="272"/>
      <c r="G523" s="227" t="s">
        <v>434</v>
      </c>
      <c r="H523" s="251" t="s">
        <v>254</v>
      </c>
      <c r="I523" s="253" t="s">
        <v>543</v>
      </c>
      <c r="J523" s="522"/>
      <c r="K523" s="251" t="s">
        <v>441</v>
      </c>
      <c r="L523" s="241"/>
      <c r="M523" s="241"/>
      <c r="N523" s="240"/>
      <c r="O523" s="210"/>
      <c r="P523" s="210"/>
      <c r="Q523" s="210"/>
    </row>
    <row r="524" spans="1:17" hidden="1">
      <c r="A524" s="1"/>
      <c r="B524" s="1"/>
      <c r="C524" s="1"/>
      <c r="D524" s="1"/>
      <c r="E524" s="1"/>
      <c r="F524" s="256"/>
      <c r="H524" s="251"/>
      <c r="I524" s="251" t="s">
        <v>430</v>
      </c>
      <c r="J524" s="521"/>
      <c r="K524" s="251" t="s">
        <v>454</v>
      </c>
      <c r="L524" s="241">
        <f>SUM(J524:J524)</f>
        <v>0</v>
      </c>
      <c r="M524" s="241" t="e">
        <f>#REF!-#REF!</f>
        <v>#REF!</v>
      </c>
      <c r="N524" s="240"/>
      <c r="O524" s="210"/>
      <c r="P524" s="210"/>
      <c r="Q524" s="210"/>
    </row>
    <row r="525" spans="1:17">
      <c r="A525" s="1"/>
      <c r="B525" s="1"/>
      <c r="C525" s="1"/>
      <c r="D525" s="1"/>
      <c r="E525" s="1"/>
      <c r="F525" s="255" t="s">
        <v>9</v>
      </c>
      <c r="G525" s="254"/>
      <c r="H525" s="244"/>
      <c r="I525" s="244" t="s">
        <v>1</v>
      </c>
      <c r="J525" s="538"/>
      <c r="K525" s="244"/>
      <c r="L525" s="241"/>
      <c r="M525" s="241"/>
      <c r="N525" s="240"/>
      <c r="O525" s="210"/>
      <c r="P525" s="210"/>
      <c r="Q525" s="210"/>
    </row>
    <row r="526" spans="1:17">
      <c r="A526" s="1"/>
      <c r="B526" s="1"/>
      <c r="C526" s="1"/>
      <c r="D526" s="1"/>
      <c r="E526" s="1"/>
      <c r="F526" s="272" t="s">
        <v>443</v>
      </c>
      <c r="G526" s="238">
        <f>G42</f>
        <v>603785225492.56006</v>
      </c>
      <c r="H526" s="238">
        <f>H42</f>
        <v>572461288759.69983</v>
      </c>
      <c r="I526" s="238">
        <f>I42</f>
        <v>418029897207.02002</v>
      </c>
      <c r="J526" s="518">
        <f>J42</f>
        <v>671536098866.66992</v>
      </c>
      <c r="K526" s="238">
        <f>G526-H526</f>
        <v>31323936732.860229</v>
      </c>
      <c r="L526" s="241">
        <f>SUM(L524:L525)</f>
        <v>0</v>
      </c>
      <c r="M526" s="241" t="e">
        <f>SUM(M524:M525)</f>
        <v>#REF!</v>
      </c>
      <c r="N526" s="240"/>
      <c r="O526" s="210"/>
      <c r="P526" s="210"/>
      <c r="Q526" s="210"/>
    </row>
    <row r="527" spans="1:17">
      <c r="A527" s="1"/>
      <c r="B527" s="1"/>
      <c r="C527" s="1"/>
      <c r="D527" s="1"/>
      <c r="E527" s="1"/>
      <c r="F527" s="256" t="s">
        <v>444</v>
      </c>
      <c r="G527" s="238">
        <f>G440</f>
        <v>66498900000</v>
      </c>
      <c r="H527" s="451">
        <f>H440</f>
        <v>94185200000.422195</v>
      </c>
      <c r="I527" s="238">
        <f>I440</f>
        <v>64392654677.370003</v>
      </c>
      <c r="J527" s="518">
        <f>J440</f>
        <v>65398700000.110001</v>
      </c>
      <c r="K527" s="238">
        <f>G527-H527</f>
        <v>-27686300000.422195</v>
      </c>
      <c r="L527" s="241"/>
      <c r="M527" s="241"/>
      <c r="N527" s="240"/>
      <c r="O527" s="210"/>
      <c r="P527" s="210"/>
      <c r="Q527" s="210"/>
    </row>
    <row r="528" spans="1:17">
      <c r="A528" s="1"/>
      <c r="B528" s="1"/>
      <c r="C528" s="1"/>
      <c r="D528" s="1"/>
      <c r="E528" s="1"/>
      <c r="F528" s="279" t="s">
        <v>311</v>
      </c>
      <c r="G528" s="238">
        <f>G459</f>
        <v>8529000000</v>
      </c>
      <c r="H528" s="451">
        <f>H459</f>
        <v>4445119057.0500002</v>
      </c>
      <c r="I528" s="238">
        <f>I459</f>
        <v>875752279.95000005</v>
      </c>
      <c r="J528" s="518">
        <f>J459</f>
        <v>33991600000</v>
      </c>
      <c r="K528" s="238">
        <f>G528-H528</f>
        <v>4083880942.9499998</v>
      </c>
      <c r="L528" s="241"/>
      <c r="M528" s="241"/>
      <c r="N528" s="240"/>
      <c r="O528" s="210"/>
      <c r="P528" s="210"/>
      <c r="Q528" s="210"/>
    </row>
    <row r="529" spans="1:17">
      <c r="A529" s="1"/>
      <c r="B529" s="1"/>
      <c r="C529" s="1"/>
      <c r="D529" s="1"/>
      <c r="E529" s="1"/>
      <c r="F529" s="279" t="s">
        <v>436</v>
      </c>
      <c r="G529" s="244"/>
      <c r="H529" s="244"/>
      <c r="I529" s="244"/>
      <c r="J529" s="555"/>
      <c r="K529" s="238"/>
      <c r="L529" s="241"/>
      <c r="M529" s="241"/>
      <c r="N529" s="240"/>
      <c r="O529" s="210"/>
      <c r="P529" s="210"/>
      <c r="Q529" s="210"/>
    </row>
    <row r="530" spans="1:17" ht="25.5">
      <c r="A530" s="1"/>
      <c r="B530" s="1"/>
      <c r="C530" s="1"/>
      <c r="D530" s="1"/>
      <c r="E530" s="1"/>
      <c r="F530" s="256" t="s">
        <v>445</v>
      </c>
      <c r="G530" s="238">
        <f>G466</f>
        <v>135700000</v>
      </c>
      <c r="H530" s="238">
        <f>H466</f>
        <v>148700000</v>
      </c>
      <c r="I530" s="238">
        <f>I466</f>
        <v>0</v>
      </c>
      <c r="J530" s="518">
        <f>J466</f>
        <v>4908300000</v>
      </c>
      <c r="K530" s="238">
        <f>G530-H530</f>
        <v>-13000000</v>
      </c>
      <c r="L530" s="241">
        <f t="shared" ref="L530:L537" si="83">SUM(J530:J530)</f>
        <v>4908300000</v>
      </c>
      <c r="M530" s="241" t="e">
        <f>#REF!-#REF!</f>
        <v>#REF!</v>
      </c>
      <c r="N530" s="240"/>
      <c r="O530" s="210"/>
      <c r="P530" s="210"/>
      <c r="Q530" s="210"/>
    </row>
    <row r="531" spans="1:17">
      <c r="A531" s="1"/>
      <c r="B531" s="1"/>
      <c r="C531" s="1"/>
      <c r="D531" s="1"/>
      <c r="E531" s="1"/>
      <c r="F531" s="256" t="s">
        <v>446</v>
      </c>
      <c r="G531" s="238">
        <f>G472</f>
        <v>4337323510</v>
      </c>
      <c r="H531" s="238">
        <f>H472</f>
        <v>5776800000</v>
      </c>
      <c r="I531" s="238">
        <f>I472</f>
        <v>4834386213.5500002</v>
      </c>
      <c r="J531" s="518">
        <f>J472</f>
        <v>6459981000</v>
      </c>
      <c r="K531" s="238">
        <f>G531-H531</f>
        <v>-1439476490</v>
      </c>
      <c r="L531" s="241">
        <f t="shared" si="83"/>
        <v>6459981000</v>
      </c>
      <c r="M531" s="241" t="e">
        <f>#REF!-#REF!</f>
        <v>#REF!</v>
      </c>
      <c r="N531" s="240"/>
      <c r="O531" s="210"/>
      <c r="P531" s="210"/>
      <c r="Q531" s="210"/>
    </row>
    <row r="532" spans="1:17">
      <c r="A532" s="1"/>
      <c r="B532" s="1"/>
      <c r="C532" s="1"/>
      <c r="D532" s="1"/>
      <c r="E532" s="1"/>
      <c r="F532" s="255" t="s">
        <v>442</v>
      </c>
      <c r="G532" s="244"/>
      <c r="H532" s="244"/>
      <c r="I532" s="244"/>
      <c r="J532" s="555"/>
      <c r="K532" s="238">
        <f>G532-H532</f>
        <v>0</v>
      </c>
      <c r="L532" s="241">
        <f t="shared" si="83"/>
        <v>0</v>
      </c>
      <c r="M532" s="241" t="e">
        <f>#REF!-#REF!</f>
        <v>#REF!</v>
      </c>
      <c r="N532" s="240"/>
      <c r="O532" s="210"/>
      <c r="P532" s="210"/>
      <c r="Q532" s="210"/>
    </row>
    <row r="533" spans="1:17">
      <c r="A533" s="1"/>
      <c r="B533" s="1"/>
      <c r="C533" s="1"/>
      <c r="D533" s="1"/>
      <c r="E533" s="1"/>
      <c r="F533" s="256" t="s">
        <v>447</v>
      </c>
      <c r="G533" s="238">
        <f>G509</f>
        <v>34378500000</v>
      </c>
      <c r="H533" s="238">
        <f>H509</f>
        <v>40326100000</v>
      </c>
      <c r="I533" s="238">
        <f>I509</f>
        <v>24673528159.470001</v>
      </c>
      <c r="J533" s="518">
        <f>J509</f>
        <v>32082500000</v>
      </c>
      <c r="K533" s="238">
        <f>G533-H533</f>
        <v>-5947600000</v>
      </c>
      <c r="L533" s="241">
        <f t="shared" si="83"/>
        <v>32082500000</v>
      </c>
      <c r="M533" s="241" t="e">
        <f>#REF!-#REF!</f>
        <v>#REF!</v>
      </c>
      <c r="N533" s="240"/>
      <c r="O533" s="210"/>
      <c r="P533" s="210"/>
      <c r="Q533" s="210"/>
    </row>
    <row r="534" spans="1:17" ht="13.5" thickBot="1">
      <c r="A534" s="1"/>
      <c r="B534" s="1"/>
      <c r="C534" s="1"/>
      <c r="D534" s="1"/>
      <c r="E534" s="1"/>
      <c r="F534" s="280" t="s">
        <v>448</v>
      </c>
      <c r="G534" s="238">
        <f>G516</f>
        <v>109224430000</v>
      </c>
      <c r="H534" s="238">
        <f>H516</f>
        <v>89979500000</v>
      </c>
      <c r="I534" s="238">
        <f>I516</f>
        <v>79028561681.970001</v>
      </c>
      <c r="J534" s="518">
        <f>J516</f>
        <v>92047600000</v>
      </c>
      <c r="K534" s="238">
        <f>G534-H534</f>
        <v>19244930000</v>
      </c>
      <c r="L534" s="241">
        <f t="shared" si="83"/>
        <v>92047600000</v>
      </c>
      <c r="M534" s="241" t="e">
        <f>#REF!-#REF!</f>
        <v>#REF!</v>
      </c>
      <c r="N534" s="240"/>
      <c r="O534" s="210"/>
      <c r="P534" s="210"/>
      <c r="Q534" s="210"/>
    </row>
    <row r="535" spans="1:17" s="374" customFormat="1">
      <c r="F535" s="281"/>
      <c r="G535" s="282">
        <f>SUM(G526:G534)</f>
        <v>826889079002.56006</v>
      </c>
      <c r="H535" s="452">
        <f>SUM(H526:H534)</f>
        <v>807322707817.17212</v>
      </c>
      <c r="I535" s="268">
        <f>SUM(I526:I534)</f>
        <v>591834780219.32996</v>
      </c>
      <c r="J535" s="558">
        <f>SUM(J526:J534)</f>
        <v>906424779866.77991</v>
      </c>
      <c r="K535" s="268">
        <f>SUM(K526:K534)</f>
        <v>19566371185.388035</v>
      </c>
      <c r="L535" s="482">
        <f t="shared" ref="L535:Q535" si="84">SUM(L526:L534)</f>
        <v>135498381000</v>
      </c>
      <c r="M535" s="268" t="e">
        <f t="shared" si="84"/>
        <v>#REF!</v>
      </c>
      <c r="N535" s="283">
        <f t="shared" si="84"/>
        <v>0</v>
      </c>
      <c r="O535" s="268">
        <f t="shared" si="84"/>
        <v>0</v>
      </c>
      <c r="P535" s="268">
        <f t="shared" si="84"/>
        <v>0</v>
      </c>
      <c r="Q535" s="268">
        <f t="shared" si="84"/>
        <v>0</v>
      </c>
    </row>
    <row r="536" spans="1:17">
      <c r="A536" s="1"/>
      <c r="B536" s="1"/>
      <c r="C536" s="1"/>
      <c r="D536" s="1"/>
      <c r="E536" s="1"/>
      <c r="G536" s="333"/>
      <c r="H536" s="184"/>
      <c r="I536" s="184"/>
      <c r="J536" s="567" t="s">
        <v>1</v>
      </c>
      <c r="K536" s="184"/>
      <c r="L536" s="3">
        <f t="shared" si="83"/>
        <v>0</v>
      </c>
      <c r="M536" s="4" t="e">
        <f>#REF!-#REF!</f>
        <v>#REF!</v>
      </c>
      <c r="O536" s="5"/>
      <c r="Q536" s="5"/>
    </row>
    <row r="537" spans="1:17">
      <c r="A537" s="1"/>
      <c r="B537" s="1"/>
      <c r="C537" s="1"/>
      <c r="D537" s="1"/>
      <c r="E537" s="1"/>
      <c r="G537" s="333"/>
      <c r="H537" s="184"/>
      <c r="I537" s="184"/>
      <c r="J537" s="567"/>
      <c r="K537" s="184"/>
      <c r="L537" s="3">
        <f t="shared" si="83"/>
        <v>0</v>
      </c>
      <c r="M537" s="4" t="e">
        <f>#REF!-#REF!</f>
        <v>#REF!</v>
      </c>
      <c r="O537" s="5"/>
      <c r="Q537" s="5"/>
    </row>
    <row r="538" spans="1:17">
      <c r="A538" s="1"/>
      <c r="B538" s="1"/>
      <c r="C538" s="1"/>
      <c r="D538" s="1"/>
      <c r="E538" s="1"/>
      <c r="G538" s="181"/>
      <c r="L538" s="3"/>
      <c r="M538" s="3"/>
      <c r="O538" s="5"/>
      <c r="Q538" s="5"/>
    </row>
    <row r="539" spans="1:17">
      <c r="A539" s="1"/>
      <c r="B539" s="1"/>
      <c r="C539" s="1"/>
      <c r="D539" s="1"/>
      <c r="E539" s="1"/>
      <c r="G539" s="181"/>
      <c r="L539" s="3"/>
      <c r="M539" s="3"/>
      <c r="O539" s="5"/>
      <c r="Q539" s="5"/>
    </row>
    <row r="540" spans="1:17">
      <c r="A540" s="1"/>
      <c r="B540" s="1"/>
      <c r="C540" s="1"/>
      <c r="D540" s="1"/>
      <c r="E540" s="1"/>
      <c r="G540" s="181"/>
      <c r="L540" s="3"/>
      <c r="M540" s="3"/>
      <c r="O540" s="5"/>
      <c r="Q540" s="5"/>
    </row>
    <row r="541" spans="1:17">
      <c r="A541" s="1"/>
      <c r="B541" s="1"/>
      <c r="C541" s="1"/>
      <c r="D541" s="1"/>
      <c r="E541" s="1"/>
      <c r="G541" s="181"/>
      <c r="L541" s="3"/>
      <c r="M541" s="3"/>
      <c r="O541" s="5"/>
      <c r="Q541" s="5"/>
    </row>
    <row r="542" spans="1:17">
      <c r="A542" s="1"/>
      <c r="B542" s="1"/>
      <c r="C542" s="1"/>
      <c r="D542" s="1"/>
      <c r="E542" s="1"/>
      <c r="G542" s="181"/>
      <c r="L542" s="3"/>
      <c r="M542" s="3"/>
      <c r="O542" s="5"/>
      <c r="Q542" s="5"/>
    </row>
    <row r="543" spans="1:17">
      <c r="A543" s="1"/>
      <c r="B543" s="1"/>
      <c r="C543" s="1"/>
      <c r="D543" s="1"/>
      <c r="E543" s="1"/>
      <c r="G543" s="365"/>
      <c r="L543" s="3"/>
      <c r="M543" s="3"/>
      <c r="O543" s="5"/>
      <c r="Q543" s="5"/>
    </row>
    <row r="544" spans="1:17">
      <c r="A544" s="1"/>
      <c r="B544" s="1"/>
      <c r="C544" s="1"/>
      <c r="D544" s="1"/>
      <c r="E544" s="1"/>
      <c r="G544" s="181"/>
      <c r="L544" s="3"/>
      <c r="M544" s="3"/>
      <c r="O544" s="5"/>
      <c r="Q544" s="5"/>
    </row>
    <row r="545" spans="1:17">
      <c r="A545" s="1"/>
      <c r="B545" s="1"/>
      <c r="C545" s="1"/>
      <c r="D545" s="1"/>
      <c r="E545" s="1"/>
      <c r="G545" s="181"/>
      <c r="L545" s="3"/>
      <c r="M545" s="3"/>
      <c r="O545" s="5"/>
      <c r="Q545" s="5"/>
    </row>
    <row r="546" spans="1:17">
      <c r="A546" s="1"/>
      <c r="B546" s="1"/>
      <c r="C546" s="1"/>
      <c r="D546" s="1"/>
      <c r="E546" s="1"/>
      <c r="O546" s="5"/>
      <c r="Q546" s="5"/>
    </row>
    <row r="547" spans="1:17">
      <c r="A547" s="1"/>
      <c r="B547" s="1"/>
      <c r="C547" s="1"/>
      <c r="D547" s="1"/>
      <c r="E547" s="1"/>
      <c r="O547" s="5"/>
      <c r="Q547" s="5"/>
    </row>
    <row r="548" spans="1:17">
      <c r="A548" s="1"/>
      <c r="B548" s="1"/>
      <c r="C548" s="1"/>
      <c r="D548" s="1"/>
      <c r="E548" s="1"/>
      <c r="G548" s="10"/>
      <c r="L548" s="1"/>
      <c r="M548" s="1"/>
      <c r="O548" s="5"/>
      <c r="Q548" s="5"/>
    </row>
    <row r="549" spans="1:17">
      <c r="A549" s="1"/>
      <c r="B549" s="1"/>
      <c r="C549" s="1"/>
      <c r="D549" s="1"/>
      <c r="E549" s="1"/>
      <c r="G549" s="10"/>
      <c r="L549" s="1"/>
      <c r="M549" s="1"/>
      <c r="O549" s="5"/>
      <c r="Q549" s="5"/>
    </row>
    <row r="550" spans="1:17">
      <c r="A550" s="1"/>
      <c r="B550" s="1"/>
      <c r="C550" s="1"/>
      <c r="D550" s="1"/>
      <c r="E550" s="1"/>
      <c r="F550" s="1"/>
      <c r="G550" s="10"/>
      <c r="L550" s="1"/>
      <c r="M550" s="1"/>
      <c r="O550" s="5"/>
      <c r="Q550" s="5"/>
    </row>
    <row r="551" spans="1:17">
      <c r="A551" s="1"/>
      <c r="B551" s="1"/>
      <c r="C551" s="1"/>
      <c r="D551" s="1"/>
      <c r="E551" s="1"/>
      <c r="F551" s="1"/>
      <c r="G551" s="10"/>
      <c r="L551" s="1"/>
      <c r="M551" s="1"/>
      <c r="O551" s="5"/>
      <c r="Q551" s="5"/>
    </row>
    <row r="552" spans="1:17">
      <c r="A552" s="1"/>
      <c r="B552" s="1"/>
      <c r="C552" s="1"/>
      <c r="D552" s="1"/>
      <c r="E552" s="1"/>
      <c r="F552" s="1"/>
      <c r="G552" s="10"/>
      <c r="L552" s="1"/>
      <c r="M552" s="1"/>
      <c r="O552" s="5"/>
      <c r="Q552" s="5"/>
    </row>
    <row r="553" spans="1:17">
      <c r="A553" s="1"/>
      <c r="B553" s="1"/>
      <c r="C553" s="1"/>
      <c r="D553" s="1"/>
      <c r="E553" s="1"/>
      <c r="F553" s="1"/>
      <c r="G553" s="10"/>
      <c r="L553" s="1"/>
      <c r="M553" s="1"/>
      <c r="O553" s="5"/>
      <c r="Q553" s="5"/>
    </row>
    <row r="554" spans="1:17">
      <c r="A554" s="1"/>
      <c r="B554" s="1"/>
      <c r="C554" s="1"/>
      <c r="D554" s="1"/>
      <c r="E554" s="1"/>
      <c r="F554" s="1"/>
      <c r="G554" s="10"/>
      <c r="L554" s="1"/>
      <c r="M554" s="1"/>
      <c r="O554" s="5"/>
      <c r="Q554" s="5"/>
    </row>
    <row r="555" spans="1:17">
      <c r="A555" s="1"/>
      <c r="B555" s="1"/>
      <c r="C555" s="1"/>
      <c r="D555" s="1"/>
      <c r="E555" s="1"/>
      <c r="F555" s="1"/>
      <c r="G555" s="10"/>
      <c r="L555" s="1"/>
      <c r="M555" s="1"/>
      <c r="O555" s="5"/>
      <c r="Q555" s="5"/>
    </row>
    <row r="556" spans="1:17">
      <c r="A556" s="1"/>
      <c r="B556" s="1"/>
      <c r="C556" s="1"/>
      <c r="D556" s="1"/>
      <c r="E556" s="1"/>
      <c r="F556" s="1"/>
      <c r="G556" s="10"/>
      <c r="L556" s="1"/>
      <c r="M556" s="1"/>
      <c r="O556" s="5"/>
      <c r="Q556" s="5"/>
    </row>
    <row r="557" spans="1:17">
      <c r="A557" s="1"/>
      <c r="B557" s="1"/>
      <c r="C557" s="1"/>
      <c r="D557" s="1"/>
      <c r="E557" s="1"/>
      <c r="F557" s="1"/>
      <c r="G557" s="10"/>
      <c r="L557" s="1"/>
      <c r="M557" s="1"/>
      <c r="O557" s="5"/>
      <c r="Q557" s="5"/>
    </row>
    <row r="558" spans="1:17">
      <c r="A558" s="1"/>
      <c r="B558" s="1"/>
      <c r="C558" s="1"/>
      <c r="D558" s="1"/>
      <c r="E558" s="1"/>
      <c r="F558" s="1"/>
      <c r="G558" s="10"/>
      <c r="L558" s="1"/>
      <c r="M558" s="1"/>
      <c r="O558" s="5"/>
      <c r="Q558" s="5"/>
    </row>
    <row r="559" spans="1:17">
      <c r="A559" s="1"/>
      <c r="B559" s="1"/>
      <c r="C559" s="1"/>
      <c r="D559" s="1"/>
      <c r="E559" s="1"/>
      <c r="F559" s="1"/>
      <c r="G559" s="10"/>
      <c r="L559" s="1"/>
      <c r="M559" s="1"/>
      <c r="O559" s="5"/>
      <c r="Q559" s="5"/>
    </row>
    <row r="560" spans="1:17">
      <c r="A560" s="1"/>
      <c r="B560" s="1"/>
      <c r="C560" s="1"/>
      <c r="D560" s="1"/>
      <c r="E560" s="1"/>
      <c r="F560" s="1"/>
      <c r="G560" s="10"/>
      <c r="L560" s="1"/>
      <c r="M560" s="1"/>
      <c r="O560" s="5"/>
      <c r="Q560" s="5"/>
    </row>
    <row r="561" spans="1:17">
      <c r="A561" s="1"/>
      <c r="B561" s="1"/>
      <c r="C561" s="1"/>
      <c r="D561" s="1"/>
      <c r="E561" s="1"/>
      <c r="F561" s="1"/>
      <c r="G561" s="10"/>
      <c r="L561" s="1"/>
      <c r="M561" s="1"/>
      <c r="O561" s="5"/>
      <c r="Q561" s="5"/>
    </row>
    <row r="562" spans="1:17">
      <c r="A562" s="1"/>
      <c r="B562" s="1"/>
      <c r="C562" s="1"/>
      <c r="D562" s="1"/>
      <c r="E562" s="1"/>
      <c r="F562" s="1"/>
      <c r="G562" s="10"/>
      <c r="L562" s="1"/>
      <c r="M562" s="1"/>
      <c r="O562" s="5"/>
      <c r="Q562" s="5"/>
    </row>
    <row r="563" spans="1:17">
      <c r="A563" s="1"/>
      <c r="B563" s="1"/>
      <c r="C563" s="1"/>
      <c r="D563" s="1"/>
      <c r="E563" s="1"/>
      <c r="F563" s="1"/>
      <c r="G563" s="10"/>
      <c r="L563" s="1"/>
      <c r="M563" s="1"/>
      <c r="O563" s="5"/>
      <c r="Q563" s="5"/>
    </row>
    <row r="564" spans="1:17">
      <c r="A564" s="1"/>
      <c r="B564" s="1"/>
      <c r="C564" s="1"/>
      <c r="D564" s="1"/>
      <c r="E564" s="1"/>
      <c r="F564" s="1"/>
      <c r="G564" s="10"/>
      <c r="L564" s="1"/>
      <c r="M564" s="1"/>
      <c r="O564" s="5"/>
      <c r="Q564" s="5"/>
    </row>
    <row r="565" spans="1:17">
      <c r="A565" s="1"/>
      <c r="B565" s="1"/>
      <c r="C565" s="1"/>
      <c r="D565" s="1"/>
      <c r="E565" s="1"/>
      <c r="F565" s="1"/>
      <c r="G565" s="10"/>
      <c r="L565" s="1"/>
      <c r="M565" s="1"/>
      <c r="O565" s="5"/>
      <c r="Q565" s="5"/>
    </row>
    <row r="566" spans="1:17">
      <c r="A566" s="1"/>
      <c r="B566" s="1"/>
      <c r="C566" s="1"/>
      <c r="D566" s="1"/>
      <c r="E566" s="1"/>
      <c r="F566" s="1"/>
      <c r="G566" s="10"/>
      <c r="L566" s="1"/>
      <c r="M566" s="1"/>
      <c r="O566" s="5"/>
      <c r="Q566" s="5"/>
    </row>
    <row r="567" spans="1:17">
      <c r="A567" s="1"/>
      <c r="B567" s="1"/>
      <c r="C567" s="1"/>
      <c r="D567" s="1"/>
      <c r="E567" s="1"/>
      <c r="F567" s="1"/>
      <c r="G567" s="10"/>
      <c r="L567" s="1"/>
      <c r="M567" s="1"/>
      <c r="O567" s="5"/>
      <c r="Q567" s="5"/>
    </row>
    <row r="568" spans="1:17">
      <c r="A568" s="1"/>
      <c r="B568" s="1"/>
      <c r="C568" s="1"/>
      <c r="D568" s="1"/>
      <c r="E568" s="1"/>
      <c r="F568" s="1"/>
      <c r="G568" s="10"/>
      <c r="L568" s="1"/>
      <c r="M568" s="1"/>
      <c r="O568" s="5"/>
      <c r="Q568" s="5"/>
    </row>
    <row r="569" spans="1:17">
      <c r="A569" s="1"/>
      <c r="B569" s="1"/>
      <c r="C569" s="1"/>
      <c r="D569" s="1"/>
      <c r="E569" s="1"/>
      <c r="F569" s="1"/>
      <c r="G569" s="10"/>
      <c r="L569" s="1"/>
      <c r="M569" s="1"/>
      <c r="O569" s="5"/>
      <c r="Q569" s="5"/>
    </row>
    <row r="570" spans="1:17">
      <c r="A570" s="1"/>
      <c r="B570" s="1"/>
      <c r="C570" s="1"/>
      <c r="D570" s="1"/>
      <c r="E570" s="1"/>
      <c r="F570" s="1"/>
      <c r="G570" s="10"/>
      <c r="L570" s="1"/>
      <c r="M570" s="1"/>
      <c r="O570" s="5"/>
      <c r="Q570" s="5"/>
    </row>
    <row r="571" spans="1:17">
      <c r="A571" s="1"/>
      <c r="B571" s="1"/>
      <c r="C571" s="1"/>
      <c r="D571" s="1"/>
      <c r="E571" s="1"/>
      <c r="F571" s="1"/>
      <c r="G571" s="10"/>
      <c r="L571" s="1"/>
      <c r="M571" s="1"/>
      <c r="O571" s="5"/>
      <c r="Q571" s="5"/>
    </row>
    <row r="572" spans="1:17">
      <c r="A572" s="1"/>
      <c r="B572" s="1"/>
      <c r="C572" s="1"/>
      <c r="D572" s="1"/>
      <c r="E572" s="1"/>
      <c r="F572" s="1"/>
      <c r="G572" s="10"/>
      <c r="L572" s="1"/>
      <c r="M572" s="1"/>
      <c r="O572" s="5"/>
      <c r="Q572" s="5"/>
    </row>
    <row r="573" spans="1:17">
      <c r="A573" s="1"/>
      <c r="B573" s="1"/>
      <c r="C573" s="1"/>
      <c r="D573" s="1"/>
      <c r="E573" s="1"/>
      <c r="F573" s="1"/>
      <c r="G573" s="10"/>
      <c r="L573" s="1"/>
      <c r="M573" s="1"/>
      <c r="O573" s="5"/>
      <c r="Q573" s="5"/>
    </row>
    <row r="574" spans="1:17">
      <c r="A574" s="1"/>
      <c r="B574" s="1"/>
      <c r="C574" s="1"/>
      <c r="D574" s="1"/>
      <c r="E574" s="1"/>
      <c r="F574" s="1"/>
      <c r="G574" s="10"/>
      <c r="L574" s="1"/>
      <c r="M574" s="1"/>
      <c r="O574" s="5"/>
      <c r="Q574" s="5"/>
    </row>
    <row r="575" spans="1:17">
      <c r="A575" s="1"/>
      <c r="B575" s="1"/>
      <c r="C575" s="1"/>
      <c r="D575" s="1"/>
      <c r="E575" s="1"/>
      <c r="F575" s="1"/>
      <c r="G575" s="10"/>
      <c r="L575" s="1"/>
      <c r="M575" s="1"/>
      <c r="O575" s="5"/>
      <c r="Q575" s="5"/>
    </row>
    <row r="576" spans="1:17">
      <c r="A576" s="1"/>
      <c r="B576" s="1"/>
      <c r="C576" s="1"/>
      <c r="D576" s="1"/>
      <c r="E576" s="1"/>
      <c r="F576" s="1"/>
      <c r="G576" s="10"/>
      <c r="L576" s="1"/>
      <c r="M576" s="1"/>
      <c r="O576" s="5"/>
      <c r="Q576" s="5"/>
    </row>
    <row r="577" spans="1:17">
      <c r="A577" s="1"/>
      <c r="B577" s="1"/>
      <c r="C577" s="1"/>
      <c r="D577" s="1"/>
      <c r="E577" s="1"/>
      <c r="F577" s="1"/>
      <c r="G577" s="10"/>
      <c r="L577" s="1"/>
      <c r="M577" s="1"/>
      <c r="O577" s="5"/>
      <c r="Q577" s="5"/>
    </row>
    <row r="578" spans="1:17">
      <c r="A578" s="1"/>
      <c r="B578" s="1"/>
      <c r="C578" s="1"/>
      <c r="D578" s="1"/>
      <c r="E578" s="1"/>
      <c r="F578" s="1"/>
      <c r="G578" s="10"/>
      <c r="L578" s="1"/>
      <c r="M578" s="1"/>
      <c r="O578" s="5"/>
      <c r="Q578" s="5"/>
    </row>
    <row r="579" spans="1:17">
      <c r="A579" s="1"/>
      <c r="B579" s="1"/>
      <c r="C579" s="1"/>
      <c r="D579" s="1"/>
      <c r="E579" s="1"/>
      <c r="F579" s="1"/>
      <c r="G579" s="10"/>
      <c r="L579" s="1"/>
      <c r="M579" s="1"/>
      <c r="O579" s="5"/>
      <c r="Q579" s="5"/>
    </row>
    <row r="580" spans="1:17">
      <c r="A580" s="1"/>
      <c r="B580" s="1"/>
      <c r="C580" s="1"/>
      <c r="D580" s="1"/>
      <c r="E580" s="1"/>
      <c r="F580" s="1"/>
      <c r="G580" s="10"/>
      <c r="L580" s="1"/>
      <c r="M580" s="1"/>
      <c r="O580" s="5"/>
      <c r="Q580" s="5"/>
    </row>
    <row r="581" spans="1:17">
      <c r="A581" s="1"/>
      <c r="B581" s="1"/>
      <c r="C581" s="1"/>
      <c r="D581" s="1"/>
      <c r="E581" s="1"/>
      <c r="F581" s="1"/>
      <c r="G581" s="10"/>
      <c r="L581" s="1"/>
      <c r="M581" s="1"/>
      <c r="O581" s="5"/>
      <c r="Q581" s="5"/>
    </row>
    <row r="582" spans="1:17">
      <c r="A582" s="1"/>
      <c r="B582" s="1"/>
      <c r="C582" s="1"/>
      <c r="D582" s="1"/>
      <c r="E582" s="1"/>
      <c r="F582" s="1"/>
      <c r="G582" s="10"/>
      <c r="L582" s="1"/>
      <c r="M582" s="1"/>
      <c r="O582" s="5"/>
      <c r="Q582" s="5"/>
    </row>
    <row r="583" spans="1:17">
      <c r="A583" s="1"/>
      <c r="B583" s="1"/>
      <c r="C583" s="1"/>
      <c r="D583" s="1"/>
      <c r="E583" s="1"/>
      <c r="F583" s="1"/>
      <c r="G583" s="10"/>
      <c r="L583" s="1"/>
      <c r="M583" s="1"/>
      <c r="O583" s="5"/>
      <c r="Q583" s="5"/>
    </row>
    <row r="584" spans="1:17">
      <c r="A584" s="1"/>
      <c r="B584" s="1"/>
      <c r="C584" s="1"/>
      <c r="D584" s="1"/>
      <c r="E584" s="1"/>
      <c r="F584" s="1"/>
      <c r="G584" s="10"/>
      <c r="L584" s="1"/>
      <c r="M584" s="1"/>
      <c r="O584" s="5"/>
      <c r="Q584" s="5"/>
    </row>
    <row r="585" spans="1:17">
      <c r="A585" s="1"/>
      <c r="B585" s="1"/>
      <c r="C585" s="1"/>
      <c r="D585" s="1"/>
      <c r="E585" s="1"/>
      <c r="F585" s="1"/>
      <c r="G585" s="10"/>
      <c r="L585" s="1"/>
      <c r="M585" s="1"/>
      <c r="O585" s="5"/>
      <c r="Q585" s="5"/>
    </row>
    <row r="586" spans="1:17">
      <c r="A586" s="1"/>
      <c r="B586" s="1"/>
      <c r="C586" s="1"/>
      <c r="D586" s="1"/>
      <c r="E586" s="1"/>
      <c r="F586" s="1"/>
      <c r="G586" s="10"/>
      <c r="L586" s="1"/>
      <c r="M586" s="1"/>
      <c r="O586" s="5"/>
      <c r="Q586" s="5"/>
    </row>
    <row r="587" spans="1:17">
      <c r="A587" s="1"/>
      <c r="B587" s="1"/>
      <c r="C587" s="1"/>
      <c r="D587" s="1"/>
      <c r="E587" s="1"/>
      <c r="F587" s="1"/>
      <c r="G587" s="10"/>
      <c r="L587" s="1"/>
      <c r="M587" s="1"/>
      <c r="O587" s="5"/>
      <c r="Q587" s="5"/>
    </row>
    <row r="588" spans="1:17">
      <c r="A588" s="1"/>
      <c r="B588" s="1"/>
      <c r="C588" s="1"/>
      <c r="D588" s="1"/>
      <c r="E588" s="1"/>
      <c r="F588" s="1"/>
      <c r="G588" s="10"/>
      <c r="L588" s="1"/>
      <c r="M588" s="1"/>
      <c r="O588" s="5"/>
      <c r="Q588" s="5"/>
    </row>
    <row r="589" spans="1:17">
      <c r="A589" s="1"/>
      <c r="B589" s="1"/>
      <c r="C589" s="1"/>
      <c r="D589" s="1"/>
      <c r="E589" s="1"/>
      <c r="F589" s="1"/>
      <c r="G589" s="10"/>
      <c r="L589" s="1"/>
      <c r="M589" s="1"/>
      <c r="O589" s="5"/>
      <c r="Q589" s="5"/>
    </row>
    <row r="590" spans="1:17">
      <c r="A590" s="1"/>
      <c r="B590" s="1"/>
      <c r="C590" s="1"/>
      <c r="D590" s="1"/>
      <c r="E590" s="1"/>
      <c r="F590" s="1"/>
      <c r="G590" s="10"/>
      <c r="L590" s="1"/>
      <c r="M590" s="1"/>
      <c r="O590" s="5"/>
      <c r="Q590" s="5"/>
    </row>
    <row r="591" spans="1:17">
      <c r="A591" s="1"/>
      <c r="B591" s="1"/>
      <c r="C591" s="1"/>
      <c r="D591" s="1"/>
      <c r="E591" s="1"/>
      <c r="F591" s="1"/>
      <c r="G591" s="10"/>
      <c r="L591" s="1"/>
      <c r="M591" s="1"/>
      <c r="O591" s="5"/>
      <c r="Q591" s="5"/>
    </row>
    <row r="592" spans="1:17">
      <c r="A592" s="1"/>
      <c r="B592" s="1"/>
      <c r="C592" s="1"/>
      <c r="D592" s="1"/>
      <c r="E592" s="1"/>
      <c r="F592" s="1"/>
      <c r="G592" s="10"/>
      <c r="L592" s="1"/>
      <c r="M592" s="1"/>
      <c r="O592" s="5"/>
      <c r="Q592" s="5"/>
    </row>
    <row r="593" spans="1:17">
      <c r="A593" s="1"/>
      <c r="B593" s="1"/>
      <c r="C593" s="1"/>
      <c r="D593" s="1"/>
      <c r="E593" s="1"/>
      <c r="F593" s="1"/>
      <c r="G593" s="10"/>
      <c r="L593" s="1"/>
      <c r="M593" s="1"/>
      <c r="O593" s="5"/>
      <c r="Q593" s="5"/>
    </row>
    <row r="594" spans="1:17">
      <c r="A594" s="1"/>
      <c r="B594" s="1"/>
      <c r="C594" s="1"/>
      <c r="D594" s="1"/>
      <c r="E594" s="1"/>
      <c r="F594" s="1"/>
      <c r="G594" s="10"/>
      <c r="L594" s="1"/>
      <c r="M594" s="1"/>
      <c r="O594" s="5"/>
      <c r="Q594" s="5"/>
    </row>
    <row r="595" spans="1:17">
      <c r="A595" s="1"/>
      <c r="B595" s="1"/>
      <c r="C595" s="1"/>
      <c r="D595" s="1"/>
      <c r="E595" s="1"/>
      <c r="F595" s="1"/>
      <c r="G595" s="10"/>
      <c r="L595" s="1"/>
      <c r="M595" s="1"/>
      <c r="O595" s="5"/>
      <c r="Q595" s="5"/>
    </row>
    <row r="596" spans="1:17">
      <c r="A596" s="1"/>
      <c r="B596" s="1"/>
      <c r="C596" s="1"/>
      <c r="D596" s="1"/>
      <c r="E596" s="1"/>
      <c r="F596" s="1"/>
      <c r="G596" s="10"/>
      <c r="L596" s="1"/>
      <c r="M596" s="1"/>
      <c r="O596" s="5"/>
      <c r="Q596" s="5"/>
    </row>
    <row r="597" spans="1:17">
      <c r="A597" s="1"/>
      <c r="B597" s="1"/>
      <c r="C597" s="1"/>
      <c r="D597" s="1"/>
      <c r="E597" s="1"/>
      <c r="F597" s="1"/>
      <c r="G597" s="10"/>
      <c r="L597" s="1"/>
      <c r="M597" s="1"/>
      <c r="O597" s="5"/>
      <c r="Q597" s="5"/>
    </row>
    <row r="598" spans="1:17">
      <c r="A598" s="1"/>
      <c r="B598" s="1"/>
      <c r="C598" s="1"/>
      <c r="D598" s="1"/>
      <c r="E598" s="1"/>
      <c r="F598" s="1"/>
      <c r="G598" s="10"/>
      <c r="L598" s="1"/>
      <c r="M598" s="1"/>
      <c r="O598" s="5"/>
      <c r="Q598" s="5"/>
    </row>
    <row r="599" spans="1:17">
      <c r="A599" s="1"/>
      <c r="B599" s="1"/>
      <c r="C599" s="1"/>
      <c r="D599" s="1"/>
      <c r="E599" s="1"/>
      <c r="F599" s="1"/>
      <c r="G599" s="10"/>
      <c r="L599" s="1"/>
      <c r="M599" s="1"/>
      <c r="O599" s="5"/>
      <c r="Q599" s="5"/>
    </row>
    <row r="600" spans="1:17">
      <c r="A600" s="1"/>
      <c r="B600" s="1"/>
      <c r="C600" s="1"/>
      <c r="D600" s="1"/>
      <c r="E600" s="1"/>
      <c r="F600" s="1"/>
      <c r="G600" s="10"/>
      <c r="L600" s="1"/>
      <c r="M600" s="1"/>
      <c r="O600" s="5"/>
      <c r="Q600" s="5"/>
    </row>
    <row r="601" spans="1:17">
      <c r="A601" s="1"/>
      <c r="B601" s="1"/>
      <c r="C601" s="1"/>
      <c r="D601" s="1"/>
      <c r="E601" s="1"/>
      <c r="F601" s="1"/>
      <c r="G601" s="10"/>
      <c r="L601" s="1"/>
      <c r="M601" s="1"/>
      <c r="O601" s="5"/>
      <c r="Q601" s="5"/>
    </row>
    <row r="602" spans="1:17">
      <c r="A602" s="1"/>
      <c r="B602" s="1"/>
      <c r="C602" s="1"/>
      <c r="D602" s="1"/>
      <c r="E602" s="1"/>
      <c r="F602" s="1"/>
      <c r="G602" s="10"/>
      <c r="L602" s="1"/>
      <c r="M602" s="1"/>
      <c r="O602" s="5"/>
      <c r="Q602" s="5"/>
    </row>
    <row r="603" spans="1:17">
      <c r="A603" s="1"/>
      <c r="B603" s="1"/>
      <c r="C603" s="1"/>
      <c r="D603" s="1"/>
      <c r="E603" s="1"/>
      <c r="F603" s="1"/>
      <c r="G603" s="10"/>
      <c r="L603" s="1"/>
      <c r="M603" s="1"/>
      <c r="O603" s="5"/>
      <c r="Q603" s="5"/>
    </row>
    <row r="604" spans="1:17">
      <c r="A604" s="1"/>
      <c r="B604" s="1"/>
      <c r="C604" s="1"/>
      <c r="D604" s="1"/>
      <c r="E604" s="1"/>
      <c r="F604" s="1"/>
      <c r="G604" s="10"/>
      <c r="L604" s="1"/>
      <c r="M604" s="1"/>
      <c r="O604" s="5"/>
      <c r="Q604" s="5"/>
    </row>
    <row r="605" spans="1:17">
      <c r="A605" s="1"/>
      <c r="B605" s="1"/>
      <c r="C605" s="1"/>
      <c r="D605" s="1"/>
      <c r="E605" s="1"/>
      <c r="F605" s="1"/>
      <c r="G605" s="10"/>
      <c r="L605" s="1"/>
      <c r="M605" s="1"/>
      <c r="O605" s="5"/>
      <c r="Q605" s="5"/>
    </row>
    <row r="606" spans="1:17">
      <c r="A606" s="1"/>
      <c r="B606" s="1"/>
      <c r="C606" s="1"/>
      <c r="D606" s="1"/>
      <c r="E606" s="1"/>
      <c r="F606" s="1"/>
      <c r="G606" s="10"/>
      <c r="L606" s="1"/>
      <c r="M606" s="1"/>
      <c r="O606" s="5"/>
      <c r="Q606" s="5"/>
    </row>
    <row r="607" spans="1:17">
      <c r="A607" s="1"/>
      <c r="B607" s="1"/>
      <c r="C607" s="1"/>
      <c r="D607" s="1"/>
      <c r="E607" s="1"/>
      <c r="F607" s="1"/>
      <c r="G607" s="10" t="s">
        <v>1</v>
      </c>
      <c r="L607" s="1"/>
      <c r="M607" s="1"/>
      <c r="O607" s="5"/>
      <c r="Q607" s="5"/>
    </row>
    <row r="608" spans="1:17">
      <c r="A608" s="1"/>
      <c r="B608" s="1"/>
      <c r="C608" s="1"/>
      <c r="D608" s="1"/>
      <c r="E608" s="1"/>
      <c r="F608" s="1"/>
      <c r="G608" s="10"/>
      <c r="L608" s="1"/>
      <c r="M608" s="1"/>
      <c r="O608" s="5"/>
      <c r="Q608" s="5"/>
    </row>
    <row r="609" spans="1:17">
      <c r="A609" s="1"/>
      <c r="B609" s="1"/>
      <c r="C609" s="1"/>
      <c r="D609" s="1"/>
      <c r="E609" s="1"/>
      <c r="F609" s="1"/>
      <c r="G609" s="10"/>
      <c r="L609" s="1"/>
      <c r="M609" s="1"/>
      <c r="O609" s="5"/>
      <c r="Q609" s="5"/>
    </row>
    <row r="610" spans="1:17">
      <c r="A610" s="1"/>
      <c r="B610" s="1"/>
      <c r="C610" s="1"/>
      <c r="D610" s="1"/>
      <c r="E610" s="1"/>
      <c r="F610" s="1"/>
      <c r="G610" s="10"/>
      <c r="L610" s="1"/>
      <c r="M610" s="1"/>
      <c r="O610" s="5"/>
      <c r="Q610" s="5"/>
    </row>
    <row r="611" spans="1:17">
      <c r="A611" s="1"/>
      <c r="B611" s="1"/>
      <c r="C611" s="1"/>
      <c r="D611" s="1"/>
      <c r="E611" s="1"/>
      <c r="F611" s="1"/>
      <c r="G611" s="10"/>
      <c r="L611" s="1"/>
      <c r="M611" s="1"/>
      <c r="O611" s="5"/>
      <c r="Q611" s="5"/>
    </row>
    <row r="612" spans="1:17">
      <c r="A612" s="1"/>
      <c r="B612" s="1"/>
      <c r="C612" s="1"/>
      <c r="D612" s="1"/>
      <c r="E612" s="1"/>
      <c r="F612" s="1"/>
      <c r="G612" s="10"/>
      <c r="L612" s="1"/>
      <c r="M612" s="1"/>
      <c r="O612" s="5"/>
      <c r="Q612" s="5"/>
    </row>
    <row r="613" spans="1:17">
      <c r="A613" s="1"/>
      <c r="B613" s="1"/>
      <c r="C613" s="1"/>
      <c r="D613" s="1"/>
      <c r="E613" s="1"/>
      <c r="F613" s="1"/>
      <c r="G613" s="10"/>
      <c r="L613" s="1"/>
      <c r="M613" s="1"/>
      <c r="O613" s="5"/>
      <c r="Q613" s="5"/>
    </row>
    <row r="614" spans="1:17">
      <c r="A614" s="1"/>
      <c r="B614" s="1"/>
      <c r="C614" s="1"/>
      <c r="D614" s="1"/>
      <c r="E614" s="1"/>
      <c r="F614" s="1"/>
      <c r="G614" s="10"/>
      <c r="L614" s="1"/>
      <c r="M614" s="1"/>
      <c r="O614" s="5"/>
      <c r="Q614" s="5"/>
    </row>
    <row r="615" spans="1:17">
      <c r="A615" s="1"/>
      <c r="B615" s="1"/>
      <c r="C615" s="1"/>
      <c r="D615" s="1"/>
      <c r="E615" s="1"/>
      <c r="F615" s="1"/>
      <c r="G615" s="10"/>
      <c r="L615" s="1"/>
      <c r="M615" s="1"/>
      <c r="O615" s="5"/>
      <c r="Q615" s="5"/>
    </row>
    <row r="616" spans="1:17">
      <c r="A616" s="1"/>
      <c r="B616" s="1"/>
      <c r="C616" s="1"/>
      <c r="D616" s="1"/>
      <c r="E616" s="1"/>
      <c r="F616" s="1"/>
      <c r="G616" s="10"/>
      <c r="L616" s="1"/>
      <c r="M616" s="1"/>
      <c r="O616" s="5"/>
      <c r="Q616" s="5"/>
    </row>
    <row r="617" spans="1:17">
      <c r="A617" s="1"/>
      <c r="B617" s="1"/>
      <c r="C617" s="1"/>
      <c r="D617" s="1"/>
      <c r="E617" s="1"/>
      <c r="F617" s="1"/>
      <c r="G617" s="10"/>
      <c r="L617" s="1"/>
      <c r="M617" s="1"/>
      <c r="O617" s="5"/>
      <c r="Q617" s="5"/>
    </row>
    <row r="618" spans="1:17">
      <c r="A618" s="1"/>
      <c r="B618" s="1"/>
      <c r="C618" s="1"/>
      <c r="D618" s="1"/>
      <c r="E618" s="1"/>
      <c r="F618" s="1"/>
      <c r="G618" s="10"/>
      <c r="L618" s="1"/>
      <c r="M618" s="1"/>
      <c r="O618" s="5"/>
      <c r="Q618" s="5"/>
    </row>
    <row r="619" spans="1:17">
      <c r="A619" s="1"/>
      <c r="B619" s="1"/>
      <c r="C619" s="1"/>
      <c r="D619" s="1"/>
      <c r="E619" s="1"/>
      <c r="F619" s="1"/>
      <c r="G619" s="10"/>
      <c r="L619" s="1"/>
      <c r="M619" s="1"/>
      <c r="O619" s="5"/>
      <c r="Q619" s="5"/>
    </row>
    <row r="620" spans="1:17">
      <c r="A620" s="1"/>
      <c r="B620" s="1"/>
      <c r="C620" s="1"/>
      <c r="D620" s="1"/>
      <c r="E620" s="1"/>
      <c r="F620" s="1"/>
      <c r="G620" s="10"/>
      <c r="L620" s="1"/>
      <c r="M620" s="1"/>
      <c r="O620" s="5"/>
      <c r="Q620" s="5"/>
    </row>
    <row r="621" spans="1:17">
      <c r="A621" s="1"/>
      <c r="B621" s="1"/>
      <c r="C621" s="1"/>
      <c r="D621" s="1"/>
      <c r="E621" s="1"/>
      <c r="F621" s="1"/>
      <c r="G621" s="10"/>
      <c r="L621" s="1"/>
      <c r="M621" s="1"/>
      <c r="O621" s="5"/>
      <c r="Q621" s="5"/>
    </row>
    <row r="622" spans="1:17">
      <c r="A622" s="1"/>
      <c r="B622" s="1"/>
      <c r="C622" s="1"/>
      <c r="D622" s="1"/>
      <c r="E622" s="1"/>
      <c r="F622" s="1"/>
      <c r="G622" s="10"/>
      <c r="L622" s="1"/>
      <c r="M622" s="1"/>
      <c r="O622" s="5"/>
      <c r="Q622" s="5"/>
    </row>
    <row r="623" spans="1:17">
      <c r="A623" s="1"/>
      <c r="B623" s="1"/>
      <c r="C623" s="1"/>
      <c r="D623" s="1"/>
      <c r="E623" s="1"/>
      <c r="F623" s="1"/>
      <c r="G623" s="10"/>
      <c r="L623" s="1"/>
      <c r="M623" s="1"/>
      <c r="O623" s="5"/>
      <c r="Q623" s="5"/>
    </row>
    <row r="624" spans="1:17">
      <c r="A624" s="1"/>
      <c r="B624" s="1"/>
      <c r="C624" s="1"/>
      <c r="D624" s="1"/>
      <c r="E624" s="1"/>
      <c r="F624" s="1"/>
      <c r="G624" s="10"/>
      <c r="L624" s="1"/>
      <c r="M624" s="1"/>
      <c r="O624" s="5"/>
      <c r="Q624" s="5"/>
    </row>
    <row r="625" spans="1:17">
      <c r="A625" s="1"/>
      <c r="B625" s="1"/>
      <c r="C625" s="1"/>
      <c r="D625" s="1"/>
      <c r="E625" s="1"/>
      <c r="F625" s="1"/>
      <c r="G625" s="10"/>
      <c r="L625" s="1"/>
      <c r="M625" s="1"/>
      <c r="O625" s="5"/>
      <c r="Q625" s="5"/>
    </row>
    <row r="626" spans="1:17">
      <c r="A626" s="1"/>
      <c r="B626" s="1"/>
      <c r="C626" s="1"/>
      <c r="D626" s="1"/>
      <c r="E626" s="1"/>
      <c r="F626" s="1"/>
      <c r="G626" s="10"/>
      <c r="L626" s="1"/>
      <c r="M626" s="1"/>
      <c r="O626" s="5"/>
      <c r="Q626" s="5"/>
    </row>
    <row r="627" spans="1:17">
      <c r="A627" s="1"/>
      <c r="B627" s="1"/>
      <c r="C627" s="1"/>
      <c r="D627" s="1"/>
      <c r="E627" s="1"/>
      <c r="F627" s="1"/>
      <c r="G627" s="10"/>
      <c r="L627" s="1"/>
      <c r="M627" s="1"/>
      <c r="O627" s="5"/>
      <c r="Q627" s="5"/>
    </row>
    <row r="628" spans="1:17">
      <c r="A628" s="1"/>
      <c r="B628" s="1"/>
      <c r="C628" s="1"/>
      <c r="D628" s="1"/>
      <c r="E628" s="1"/>
      <c r="F628" s="1"/>
      <c r="G628" s="10"/>
      <c r="L628" s="1"/>
      <c r="M628" s="1"/>
      <c r="O628" s="5"/>
      <c r="Q628" s="5"/>
    </row>
    <row r="629" spans="1:17">
      <c r="A629" s="1"/>
      <c r="B629" s="1"/>
      <c r="C629" s="1"/>
      <c r="D629" s="1"/>
      <c r="E629" s="1"/>
      <c r="F629" s="1"/>
      <c r="G629" s="10"/>
      <c r="L629" s="1"/>
      <c r="M629" s="1"/>
      <c r="O629" s="5"/>
      <c r="Q629" s="5"/>
    </row>
    <row r="630" spans="1:17">
      <c r="A630" s="1"/>
      <c r="B630" s="1"/>
      <c r="C630" s="1"/>
      <c r="D630" s="1"/>
      <c r="E630" s="1"/>
      <c r="F630" s="1"/>
      <c r="G630" s="10"/>
      <c r="L630" s="1"/>
      <c r="M630" s="1"/>
      <c r="O630" s="5"/>
      <c r="Q630" s="5"/>
    </row>
    <row r="631" spans="1:17">
      <c r="A631" s="1"/>
      <c r="B631" s="1"/>
      <c r="C631" s="1"/>
      <c r="D631" s="1"/>
      <c r="E631" s="1"/>
      <c r="F631" s="1"/>
      <c r="G631" s="10"/>
      <c r="L631" s="1"/>
      <c r="M631" s="1"/>
      <c r="O631" s="5"/>
      <c r="Q631" s="5"/>
    </row>
    <row r="632" spans="1:17">
      <c r="A632" s="1"/>
      <c r="B632" s="1"/>
      <c r="C632" s="1"/>
      <c r="D632" s="1"/>
      <c r="E632" s="1"/>
      <c r="F632" s="1"/>
      <c r="G632" s="10"/>
      <c r="L632" s="1"/>
      <c r="M632" s="1"/>
      <c r="O632" s="5"/>
      <c r="Q632" s="5"/>
    </row>
    <row r="633" spans="1:17">
      <c r="A633" s="1"/>
      <c r="B633" s="1"/>
      <c r="C633" s="1"/>
      <c r="D633" s="1"/>
      <c r="E633" s="1"/>
      <c r="F633" s="1"/>
      <c r="G633" s="10"/>
      <c r="L633" s="1"/>
      <c r="M633" s="1"/>
      <c r="O633" s="5"/>
      <c r="Q633" s="5"/>
    </row>
    <row r="634" spans="1:17">
      <c r="A634" s="1"/>
      <c r="B634" s="1"/>
      <c r="C634" s="1"/>
      <c r="D634" s="1"/>
      <c r="E634" s="1"/>
      <c r="F634" s="1"/>
      <c r="G634" s="10"/>
      <c r="L634" s="1"/>
      <c r="M634" s="1"/>
      <c r="O634" s="5"/>
      <c r="Q634" s="5"/>
    </row>
    <row r="635" spans="1:17">
      <c r="A635" s="1"/>
      <c r="B635" s="1"/>
      <c r="C635" s="1"/>
      <c r="D635" s="1"/>
      <c r="E635" s="1"/>
      <c r="F635" s="1"/>
      <c r="G635" s="10"/>
      <c r="L635" s="1"/>
      <c r="M635" s="1"/>
      <c r="O635" s="5"/>
      <c r="Q635" s="5"/>
    </row>
    <row r="636" spans="1:17">
      <c r="A636" s="1"/>
      <c r="B636" s="1"/>
      <c r="C636" s="1"/>
      <c r="D636" s="1"/>
      <c r="E636" s="1"/>
      <c r="F636" s="1"/>
      <c r="G636" s="10"/>
      <c r="L636" s="1"/>
      <c r="M636" s="1"/>
      <c r="O636" s="5"/>
      <c r="Q636" s="5"/>
    </row>
    <row r="637" spans="1:17">
      <c r="A637" s="1"/>
      <c r="B637" s="1"/>
      <c r="C637" s="1"/>
      <c r="D637" s="1"/>
      <c r="E637" s="1"/>
      <c r="F637" s="1"/>
      <c r="G637" s="10"/>
      <c r="L637" s="1"/>
      <c r="M637" s="1"/>
      <c r="O637" s="5"/>
      <c r="Q637" s="5"/>
    </row>
    <row r="638" spans="1:17">
      <c r="A638" s="1"/>
      <c r="B638" s="1"/>
      <c r="C638" s="1"/>
      <c r="D638" s="1"/>
      <c r="E638" s="1"/>
      <c r="F638" s="1"/>
      <c r="G638" s="10"/>
      <c r="L638" s="1"/>
      <c r="M638" s="1"/>
      <c r="O638" s="5"/>
      <c r="Q638" s="5"/>
    </row>
    <row r="639" spans="1:17">
      <c r="A639" s="1"/>
      <c r="B639" s="1"/>
      <c r="C639" s="1"/>
      <c r="D639" s="1"/>
      <c r="E639" s="1"/>
      <c r="F639" s="1"/>
      <c r="G639" s="10"/>
      <c r="L639" s="1"/>
      <c r="M639" s="1"/>
      <c r="O639" s="5"/>
      <c r="Q639" s="5"/>
    </row>
    <row r="640" spans="1:17">
      <c r="A640" s="1"/>
      <c r="B640" s="1"/>
      <c r="C640" s="1"/>
      <c r="D640" s="1"/>
      <c r="E640" s="1"/>
      <c r="F640" s="1"/>
      <c r="G640" s="10"/>
      <c r="L640" s="1"/>
      <c r="M640" s="1"/>
      <c r="O640" s="5"/>
      <c r="Q640" s="5"/>
    </row>
    <row r="641" spans="1:17">
      <c r="A641" s="1"/>
      <c r="B641" s="1"/>
      <c r="C641" s="1"/>
      <c r="D641" s="1"/>
      <c r="E641" s="1"/>
      <c r="F641" s="1"/>
      <c r="G641" s="10"/>
      <c r="L641" s="1"/>
      <c r="M641" s="1"/>
      <c r="O641" s="5"/>
      <c r="Q641" s="5"/>
    </row>
    <row r="642" spans="1:17">
      <c r="A642" s="1"/>
      <c r="B642" s="1"/>
      <c r="C642" s="1"/>
      <c r="D642" s="1"/>
      <c r="E642" s="1"/>
      <c r="F642" s="1"/>
      <c r="G642" s="10"/>
      <c r="L642" s="1"/>
      <c r="M642" s="1"/>
      <c r="O642" s="5"/>
      <c r="Q642" s="5"/>
    </row>
    <row r="643" spans="1:17">
      <c r="A643" s="1"/>
      <c r="B643" s="1"/>
      <c r="C643" s="1"/>
      <c r="D643" s="1"/>
      <c r="E643" s="1"/>
      <c r="F643" s="1"/>
      <c r="G643" s="10"/>
      <c r="L643" s="1"/>
      <c r="M643" s="1"/>
      <c r="O643" s="5"/>
      <c r="Q643" s="5"/>
    </row>
    <row r="644" spans="1:17">
      <c r="A644" s="1"/>
      <c r="B644" s="1"/>
      <c r="C644" s="1"/>
      <c r="D644" s="1"/>
      <c r="E644" s="1"/>
      <c r="F644" s="1"/>
      <c r="G644" s="10"/>
      <c r="L644" s="1"/>
      <c r="M644" s="1"/>
      <c r="O644" s="5"/>
      <c r="Q644" s="5"/>
    </row>
    <row r="645" spans="1:17">
      <c r="A645" s="1"/>
      <c r="B645" s="1"/>
      <c r="C645" s="1"/>
      <c r="D645" s="1"/>
      <c r="E645" s="1"/>
      <c r="F645" s="1"/>
      <c r="G645" s="10"/>
      <c r="L645" s="1"/>
      <c r="M645" s="1"/>
      <c r="O645" s="5"/>
      <c r="Q645" s="5"/>
    </row>
    <row r="646" spans="1:17">
      <c r="A646" s="1"/>
      <c r="B646" s="1"/>
      <c r="C646" s="1"/>
      <c r="D646" s="1"/>
      <c r="E646" s="1"/>
      <c r="F646" s="1"/>
      <c r="G646" s="10"/>
      <c r="L646" s="1"/>
      <c r="M646" s="1"/>
      <c r="O646" s="5"/>
      <c r="Q646" s="5"/>
    </row>
    <row r="647" spans="1:17">
      <c r="A647" s="1"/>
      <c r="B647" s="1"/>
      <c r="C647" s="1"/>
      <c r="D647" s="1"/>
      <c r="E647" s="1"/>
      <c r="F647" s="1"/>
      <c r="G647" s="10"/>
      <c r="L647" s="1"/>
      <c r="M647" s="1"/>
      <c r="O647" s="5"/>
      <c r="Q647" s="5"/>
    </row>
    <row r="648" spans="1:17">
      <c r="A648" s="1"/>
      <c r="B648" s="1"/>
      <c r="C648" s="1"/>
      <c r="D648" s="1"/>
      <c r="E648" s="1"/>
      <c r="F648" s="1"/>
      <c r="G648" s="10"/>
      <c r="L648" s="1"/>
      <c r="M648" s="1"/>
      <c r="O648" s="5"/>
      <c r="Q648" s="5"/>
    </row>
    <row r="649" spans="1:17">
      <c r="A649" s="1"/>
      <c r="B649" s="1"/>
      <c r="C649" s="1"/>
      <c r="D649" s="1"/>
      <c r="E649" s="1"/>
      <c r="F649" s="1"/>
      <c r="G649" s="10"/>
      <c r="L649" s="1"/>
      <c r="M649" s="1"/>
      <c r="O649" s="5"/>
      <c r="Q649" s="5"/>
    </row>
    <row r="650" spans="1:17">
      <c r="A650" s="1"/>
      <c r="B650" s="1"/>
      <c r="C650" s="1"/>
      <c r="D650" s="1"/>
      <c r="E650" s="1"/>
      <c r="F650" s="1"/>
      <c r="G650" s="10"/>
      <c r="L650" s="1"/>
      <c r="M650" s="1"/>
      <c r="O650" s="5"/>
      <c r="Q650" s="5"/>
    </row>
    <row r="651" spans="1:17">
      <c r="A651" s="1"/>
      <c r="B651" s="1"/>
      <c r="C651" s="1"/>
      <c r="D651" s="1"/>
      <c r="E651" s="1"/>
      <c r="F651" s="1"/>
      <c r="G651" s="10"/>
      <c r="L651" s="1"/>
      <c r="M651" s="1"/>
      <c r="O651" s="5"/>
      <c r="Q651" s="5"/>
    </row>
    <row r="652" spans="1:17">
      <c r="A652" s="1"/>
      <c r="B652" s="1"/>
      <c r="C652" s="1"/>
      <c r="D652" s="1"/>
      <c r="E652" s="1"/>
      <c r="F652" s="1"/>
      <c r="G652" s="10"/>
      <c r="L652" s="1"/>
      <c r="M652" s="1"/>
      <c r="O652" s="5"/>
      <c r="Q652" s="5"/>
    </row>
    <row r="653" spans="1:17">
      <c r="A653" s="1"/>
      <c r="B653" s="1"/>
      <c r="C653" s="1"/>
      <c r="D653" s="1"/>
      <c r="E653" s="1"/>
      <c r="F653" s="1"/>
      <c r="G653" s="10"/>
      <c r="L653" s="1"/>
      <c r="M653" s="1"/>
      <c r="O653" s="5"/>
      <c r="Q653" s="5"/>
    </row>
    <row r="654" spans="1:17">
      <c r="A654" s="1"/>
      <c r="B654" s="1"/>
      <c r="C654" s="1"/>
      <c r="D654" s="1"/>
      <c r="E654" s="1"/>
      <c r="F654" s="1"/>
      <c r="G654" s="10"/>
      <c r="L654" s="1"/>
      <c r="M654" s="1"/>
      <c r="O654" s="5"/>
      <c r="Q654" s="5"/>
    </row>
    <row r="655" spans="1:17">
      <c r="A655" s="1"/>
      <c r="B655" s="1"/>
      <c r="C655" s="1"/>
      <c r="D655" s="1"/>
      <c r="E655" s="1"/>
      <c r="F655" s="1"/>
      <c r="G655" s="10"/>
      <c r="L655" s="1"/>
      <c r="M655" s="1"/>
      <c r="O655" s="5"/>
      <c r="Q655" s="5"/>
    </row>
    <row r="656" spans="1:17">
      <c r="A656" s="1"/>
      <c r="B656" s="1"/>
      <c r="C656" s="1"/>
      <c r="D656" s="1"/>
      <c r="E656" s="1"/>
      <c r="F656" s="1"/>
      <c r="G656" s="10"/>
      <c r="L656" s="1"/>
      <c r="M656" s="1"/>
      <c r="O656" s="5"/>
      <c r="Q656" s="5"/>
    </row>
    <row r="657" spans="1:17">
      <c r="A657" s="1"/>
      <c r="B657" s="1"/>
      <c r="C657" s="1"/>
      <c r="D657" s="1"/>
      <c r="E657" s="1"/>
      <c r="F657" s="1"/>
      <c r="G657" s="10"/>
      <c r="L657" s="1"/>
      <c r="M657" s="1"/>
      <c r="O657" s="5"/>
      <c r="Q657" s="5"/>
    </row>
    <row r="658" spans="1:17">
      <c r="A658" s="1"/>
      <c r="B658" s="1"/>
      <c r="C658" s="1"/>
      <c r="D658" s="1"/>
      <c r="E658" s="1"/>
      <c r="F658" s="1"/>
      <c r="G658" s="10"/>
      <c r="L658" s="1"/>
      <c r="M658" s="1"/>
      <c r="O658" s="5"/>
      <c r="Q658" s="5"/>
    </row>
    <row r="659" spans="1:17">
      <c r="A659" s="1"/>
      <c r="B659" s="1"/>
      <c r="C659" s="1"/>
      <c r="D659" s="1"/>
      <c r="E659" s="1"/>
      <c r="F659" s="1"/>
      <c r="G659" s="10"/>
      <c r="L659" s="1"/>
      <c r="M659" s="1"/>
      <c r="O659" s="5"/>
      <c r="Q659" s="5"/>
    </row>
    <row r="660" spans="1:17">
      <c r="A660" s="1"/>
      <c r="B660" s="1"/>
      <c r="C660" s="1"/>
      <c r="D660" s="1"/>
      <c r="E660" s="1"/>
      <c r="F660" s="1"/>
      <c r="G660" s="10"/>
      <c r="L660" s="1"/>
      <c r="M660" s="1"/>
      <c r="O660" s="5"/>
      <c r="Q660" s="5"/>
    </row>
    <row r="661" spans="1:17">
      <c r="A661" s="1"/>
      <c r="B661" s="1"/>
      <c r="C661" s="1"/>
      <c r="D661" s="1"/>
      <c r="E661" s="1"/>
      <c r="F661" s="1"/>
      <c r="G661" s="10"/>
      <c r="L661" s="1"/>
      <c r="M661" s="1"/>
      <c r="O661" s="5"/>
      <c r="Q661" s="5"/>
    </row>
    <row r="662" spans="1:17">
      <c r="A662" s="1"/>
      <c r="B662" s="1"/>
      <c r="C662" s="1"/>
      <c r="D662" s="1"/>
      <c r="E662" s="1"/>
      <c r="F662" s="1"/>
      <c r="G662" s="10"/>
      <c r="L662" s="1"/>
      <c r="M662" s="1"/>
      <c r="O662" s="5"/>
      <c r="Q662" s="5"/>
    </row>
    <row r="663" spans="1:17">
      <c r="A663" s="1"/>
      <c r="B663" s="1"/>
      <c r="C663" s="1"/>
      <c r="D663" s="1"/>
      <c r="E663" s="1"/>
      <c r="F663" s="1"/>
      <c r="G663" s="10"/>
      <c r="L663" s="1"/>
      <c r="M663" s="1"/>
      <c r="O663" s="5"/>
      <c r="Q663" s="5"/>
    </row>
    <row r="664" spans="1:17">
      <c r="A664" s="1"/>
      <c r="B664" s="1"/>
      <c r="C664" s="1"/>
      <c r="D664" s="1"/>
      <c r="E664" s="1"/>
      <c r="F664" s="1"/>
      <c r="G664" s="10"/>
      <c r="L664" s="1"/>
      <c r="M664" s="1"/>
      <c r="O664" s="5"/>
      <c r="Q664" s="5"/>
    </row>
    <row r="665" spans="1:17">
      <c r="A665" s="1"/>
      <c r="B665" s="1"/>
      <c r="C665" s="1"/>
      <c r="D665" s="1"/>
      <c r="E665" s="1"/>
      <c r="F665" s="1"/>
      <c r="G665" s="10"/>
      <c r="L665" s="1"/>
      <c r="M665" s="1"/>
      <c r="O665" s="5"/>
      <c r="Q665" s="5"/>
    </row>
    <row r="666" spans="1:17">
      <c r="A666" s="1"/>
      <c r="B666" s="1"/>
      <c r="C666" s="1"/>
      <c r="D666" s="1"/>
      <c r="E666" s="1"/>
      <c r="F666" s="1"/>
      <c r="G666" s="10"/>
      <c r="L666" s="1"/>
      <c r="M666" s="1"/>
      <c r="O666" s="5"/>
      <c r="Q666" s="5"/>
    </row>
    <row r="667" spans="1:17">
      <c r="A667" s="1"/>
      <c r="B667" s="1"/>
      <c r="C667" s="1"/>
      <c r="D667" s="1"/>
      <c r="E667" s="1"/>
      <c r="F667" s="1"/>
      <c r="G667" s="10"/>
      <c r="L667" s="1"/>
      <c r="M667" s="1"/>
      <c r="O667" s="5"/>
      <c r="Q667" s="5"/>
    </row>
    <row r="668" spans="1:17">
      <c r="A668" s="1"/>
      <c r="B668" s="1"/>
      <c r="C668" s="1"/>
      <c r="D668" s="1"/>
      <c r="E668" s="1"/>
      <c r="F668" s="1"/>
      <c r="G668" s="10"/>
      <c r="L668" s="1"/>
      <c r="M668" s="1"/>
      <c r="O668" s="5"/>
      <c r="Q668" s="5"/>
    </row>
    <row r="669" spans="1:17">
      <c r="A669" s="1"/>
      <c r="B669" s="1"/>
      <c r="C669" s="1"/>
      <c r="D669" s="1"/>
      <c r="E669" s="1"/>
      <c r="F669" s="1"/>
      <c r="G669" s="10"/>
      <c r="L669" s="1"/>
      <c r="M669" s="1"/>
      <c r="O669" s="5"/>
      <c r="Q669" s="5"/>
    </row>
    <row r="670" spans="1:17">
      <c r="A670" s="1"/>
      <c r="B670" s="1"/>
      <c r="C670" s="1"/>
      <c r="D670" s="1"/>
      <c r="E670" s="1"/>
      <c r="F670" s="1"/>
      <c r="G670" s="10"/>
      <c r="L670" s="1"/>
      <c r="M670" s="1"/>
      <c r="O670" s="5"/>
      <c r="Q670" s="5"/>
    </row>
    <row r="671" spans="1:17">
      <c r="A671" s="1"/>
      <c r="B671" s="1"/>
      <c r="C671" s="1"/>
      <c r="D671" s="1"/>
      <c r="E671" s="1"/>
      <c r="F671" s="1"/>
      <c r="G671" s="10"/>
      <c r="L671" s="1"/>
      <c r="M671" s="1"/>
      <c r="O671" s="5"/>
      <c r="Q671" s="5"/>
    </row>
    <row r="672" spans="1:17">
      <c r="A672" s="1"/>
      <c r="B672" s="1"/>
      <c r="C672" s="1"/>
      <c r="D672" s="1"/>
      <c r="E672" s="1"/>
      <c r="F672" s="1"/>
      <c r="G672" s="10"/>
      <c r="L672" s="1"/>
      <c r="M672" s="1"/>
      <c r="O672" s="5"/>
      <c r="Q672" s="5"/>
    </row>
    <row r="673" spans="1:17">
      <c r="A673" s="1"/>
      <c r="B673" s="1"/>
      <c r="C673" s="1"/>
      <c r="D673" s="1"/>
      <c r="E673" s="1"/>
      <c r="F673" s="1"/>
      <c r="G673" s="10"/>
      <c r="L673" s="1"/>
      <c r="M673" s="1"/>
      <c r="O673" s="5"/>
      <c r="Q673" s="5"/>
    </row>
    <row r="674" spans="1:17">
      <c r="A674" s="1"/>
      <c r="B674" s="1"/>
      <c r="C674" s="1"/>
      <c r="D674" s="1"/>
      <c r="E674" s="1"/>
      <c r="F674" s="1"/>
      <c r="G674" s="10"/>
      <c r="L674" s="1"/>
      <c r="M674" s="1"/>
      <c r="O674" s="5"/>
      <c r="Q674" s="5"/>
    </row>
    <row r="675" spans="1:17">
      <c r="A675" s="1"/>
      <c r="B675" s="1"/>
      <c r="C675" s="1"/>
      <c r="D675" s="1"/>
      <c r="E675" s="1"/>
      <c r="F675" s="1"/>
      <c r="G675" s="10"/>
      <c r="L675" s="1"/>
      <c r="M675" s="1"/>
      <c r="O675" s="5"/>
      <c r="Q675" s="5"/>
    </row>
    <row r="676" spans="1:17">
      <c r="A676" s="1"/>
      <c r="B676" s="1"/>
      <c r="C676" s="1"/>
      <c r="D676" s="1"/>
      <c r="E676" s="1"/>
      <c r="F676" s="1"/>
      <c r="G676" s="10"/>
      <c r="L676" s="1"/>
      <c r="M676" s="1"/>
      <c r="O676" s="5"/>
      <c r="Q676" s="5"/>
    </row>
    <row r="677" spans="1:17">
      <c r="A677" s="1"/>
      <c r="B677" s="1"/>
      <c r="C677" s="1"/>
      <c r="D677" s="1"/>
      <c r="E677" s="1"/>
      <c r="F677" s="1"/>
      <c r="G677" s="10"/>
      <c r="L677" s="1"/>
      <c r="M677" s="1"/>
      <c r="O677" s="5"/>
      <c r="Q677" s="5"/>
    </row>
    <row r="678" spans="1:17">
      <c r="A678" s="1"/>
      <c r="B678" s="1"/>
      <c r="C678" s="1"/>
      <c r="D678" s="1"/>
      <c r="E678" s="1"/>
      <c r="F678" s="1"/>
      <c r="G678" s="10"/>
      <c r="L678" s="1"/>
      <c r="M678" s="1"/>
      <c r="O678" s="5"/>
      <c r="Q678" s="5"/>
    </row>
    <row r="679" spans="1:17">
      <c r="A679" s="1"/>
      <c r="B679" s="1"/>
      <c r="C679" s="1"/>
      <c r="D679" s="1"/>
      <c r="E679" s="1"/>
      <c r="F679" s="1"/>
      <c r="G679" s="10"/>
      <c r="L679" s="1"/>
      <c r="M679" s="1"/>
      <c r="O679" s="5"/>
      <c r="Q679" s="5"/>
    </row>
    <row r="680" spans="1:17">
      <c r="A680" s="1"/>
      <c r="B680" s="1"/>
      <c r="C680" s="1"/>
      <c r="D680" s="1"/>
      <c r="E680" s="1"/>
      <c r="F680" s="1"/>
      <c r="G680" s="10"/>
      <c r="L680" s="1"/>
      <c r="M680" s="1"/>
      <c r="O680" s="5"/>
      <c r="Q680" s="5"/>
    </row>
    <row r="681" spans="1:17">
      <c r="A681" s="1"/>
      <c r="B681" s="1"/>
      <c r="C681" s="1"/>
      <c r="D681" s="1"/>
      <c r="E681" s="1"/>
      <c r="F681" s="1"/>
      <c r="G681" s="10"/>
      <c r="L681" s="1"/>
      <c r="M681" s="1"/>
      <c r="O681" s="5"/>
      <c r="Q681" s="5"/>
    </row>
    <row r="682" spans="1:17">
      <c r="A682" s="1"/>
      <c r="B682" s="1"/>
      <c r="C682" s="1"/>
      <c r="D682" s="1"/>
      <c r="E682" s="1"/>
      <c r="F682" s="1"/>
      <c r="G682" s="10"/>
      <c r="L682" s="1"/>
      <c r="M682" s="1"/>
      <c r="O682" s="5"/>
      <c r="Q682" s="5"/>
    </row>
    <row r="683" spans="1:17">
      <c r="A683" s="1"/>
      <c r="B683" s="1"/>
      <c r="C683" s="1"/>
      <c r="D683" s="1"/>
      <c r="E683" s="1"/>
      <c r="F683" s="1"/>
      <c r="G683" s="10"/>
      <c r="L683" s="1"/>
      <c r="M683" s="1"/>
      <c r="O683" s="5"/>
      <c r="Q683" s="5"/>
    </row>
    <row r="684" spans="1:17">
      <c r="A684" s="1"/>
      <c r="B684" s="1"/>
      <c r="C684" s="1"/>
      <c r="D684" s="1"/>
      <c r="E684" s="1"/>
      <c r="F684" s="1"/>
      <c r="G684" s="10"/>
      <c r="L684" s="1"/>
      <c r="M684" s="1"/>
      <c r="O684" s="5"/>
      <c r="Q684" s="5"/>
    </row>
    <row r="685" spans="1:17">
      <c r="A685" s="1"/>
      <c r="B685" s="1"/>
      <c r="C685" s="1"/>
      <c r="D685" s="1"/>
      <c r="E685" s="1"/>
      <c r="F685" s="1"/>
      <c r="G685" s="10"/>
      <c r="L685" s="1"/>
      <c r="M685" s="1"/>
    </row>
    <row r="686" spans="1:17">
      <c r="A686" s="1"/>
      <c r="B686" s="1"/>
      <c r="C686" s="1"/>
      <c r="D686" s="1"/>
      <c r="E686" s="1"/>
      <c r="F686" s="1"/>
      <c r="G686" s="10"/>
      <c r="L686" s="1"/>
      <c r="M686" s="1"/>
    </row>
    <row r="687" spans="1:17">
      <c r="A687" s="1"/>
      <c r="B687" s="1"/>
      <c r="C687" s="1"/>
      <c r="D687" s="1"/>
      <c r="E687" s="1"/>
      <c r="F687" s="1"/>
      <c r="G687" s="10"/>
      <c r="L687" s="1"/>
      <c r="M687" s="1"/>
    </row>
    <row r="688" spans="1:17">
      <c r="A688" s="1"/>
      <c r="B688" s="1"/>
      <c r="C688" s="1"/>
      <c r="D688" s="1"/>
      <c r="E688" s="1"/>
      <c r="F688" s="1"/>
      <c r="G688" s="10"/>
      <c r="L688" s="1"/>
      <c r="M688" s="1"/>
    </row>
    <row r="689" spans="1:16">
      <c r="A689" s="1"/>
      <c r="B689" s="1"/>
      <c r="C689" s="1"/>
      <c r="D689" s="1"/>
      <c r="E689" s="1"/>
      <c r="F689" s="1"/>
      <c r="G689" s="10"/>
      <c r="L689" s="1"/>
      <c r="M689" s="1"/>
    </row>
    <row r="690" spans="1:16">
      <c r="A690" s="1"/>
      <c r="B690" s="1"/>
      <c r="C690" s="1"/>
      <c r="D690" s="1"/>
      <c r="E690" s="1"/>
      <c r="F690" s="1"/>
      <c r="G690" s="10"/>
      <c r="L690" s="1"/>
      <c r="M690" s="1"/>
    </row>
    <row r="691" spans="1:16">
      <c r="A691" s="1"/>
      <c r="B691" s="1"/>
      <c r="C691" s="1"/>
      <c r="D691" s="1"/>
      <c r="E691" s="1"/>
      <c r="F691" s="1"/>
      <c r="G691" s="10"/>
      <c r="L691" s="1"/>
      <c r="M691" s="1"/>
    </row>
    <row r="692" spans="1:16">
      <c r="A692" s="1"/>
      <c r="B692" s="1"/>
      <c r="C692" s="1"/>
      <c r="D692" s="1"/>
      <c r="E692" s="1"/>
      <c r="F692" s="1"/>
      <c r="G692" s="10"/>
      <c r="L692" s="1"/>
      <c r="M692" s="1"/>
    </row>
    <row r="693" spans="1:16">
      <c r="A693" s="1"/>
      <c r="B693" s="1"/>
      <c r="C693" s="1"/>
      <c r="D693" s="1"/>
      <c r="E693" s="1"/>
      <c r="F693" s="1"/>
      <c r="G693" s="10"/>
      <c r="L693" s="1"/>
      <c r="M693" s="1"/>
    </row>
    <row r="694" spans="1:16">
      <c r="A694" s="1"/>
      <c r="B694" s="1"/>
      <c r="C694" s="1"/>
      <c r="D694" s="1"/>
      <c r="E694" s="1"/>
      <c r="F694" s="1"/>
      <c r="G694" s="10"/>
      <c r="L694" s="1"/>
      <c r="M694" s="1"/>
      <c r="P694" s="1"/>
    </row>
    <row r="695" spans="1:16">
      <c r="A695" s="1"/>
      <c r="B695" s="1"/>
      <c r="C695" s="1"/>
      <c r="D695" s="1"/>
      <c r="E695" s="1"/>
      <c r="F695" s="1"/>
      <c r="G695" s="10"/>
      <c r="L695" s="1"/>
      <c r="M695" s="1"/>
      <c r="P695" s="1"/>
    </row>
    <row r="696" spans="1:16">
      <c r="A696" s="1"/>
      <c r="B696" s="1"/>
      <c r="C696" s="1"/>
      <c r="D696" s="1"/>
      <c r="E696" s="1"/>
      <c r="F696" s="1"/>
      <c r="G696" s="10"/>
      <c r="L696" s="1"/>
      <c r="M696" s="1"/>
      <c r="P696" s="1"/>
    </row>
    <row r="697" spans="1:16">
      <c r="A697" s="1"/>
      <c r="B697" s="1"/>
      <c r="C697" s="1"/>
      <c r="D697" s="1"/>
      <c r="E697" s="1"/>
      <c r="F697" s="1"/>
      <c r="G697" s="10"/>
      <c r="L697" s="1"/>
      <c r="M697" s="1"/>
      <c r="P697" s="1"/>
    </row>
    <row r="698" spans="1:16">
      <c r="A698" s="1"/>
      <c r="B698" s="1"/>
      <c r="C698" s="1"/>
      <c r="D698" s="1"/>
      <c r="E698" s="1"/>
      <c r="F698" s="1"/>
      <c r="G698" s="10"/>
      <c r="L698" s="1"/>
      <c r="M698" s="1"/>
      <c r="P698" s="1"/>
    </row>
    <row r="699" spans="1:16">
      <c r="A699" s="1"/>
      <c r="B699" s="1"/>
      <c r="C699" s="1"/>
      <c r="D699" s="1"/>
      <c r="E699" s="1"/>
      <c r="F699" s="1"/>
      <c r="G699" s="10"/>
      <c r="L699" s="1"/>
      <c r="M699" s="1"/>
      <c r="P699" s="1"/>
    </row>
    <row r="700" spans="1:16">
      <c r="A700" s="1"/>
      <c r="B700" s="1"/>
      <c r="C700" s="1"/>
      <c r="D700" s="1"/>
      <c r="E700" s="1"/>
      <c r="F700" s="1"/>
      <c r="G700" s="10"/>
      <c r="L700" s="1"/>
      <c r="M700" s="1"/>
      <c r="P700" s="1"/>
    </row>
    <row r="701" spans="1:16">
      <c r="A701" s="1"/>
      <c r="B701" s="1"/>
      <c r="C701" s="1"/>
      <c r="D701" s="1"/>
      <c r="E701" s="1"/>
      <c r="F701" s="1"/>
      <c r="G701" s="10"/>
      <c r="L701" s="1"/>
      <c r="M701" s="1"/>
      <c r="P701" s="1"/>
    </row>
    <row r="702" spans="1:16">
      <c r="A702" s="1"/>
      <c r="B702" s="1"/>
      <c r="C702" s="1"/>
      <c r="D702" s="1"/>
      <c r="E702" s="1"/>
      <c r="F702" s="1"/>
      <c r="G702" s="10"/>
      <c r="L702" s="1"/>
      <c r="M702" s="1"/>
      <c r="P702" s="1"/>
    </row>
    <row r="703" spans="1:16">
      <c r="A703" s="1"/>
      <c r="B703" s="1"/>
      <c r="C703" s="1"/>
      <c r="D703" s="1"/>
      <c r="E703" s="1"/>
      <c r="F703" s="1"/>
      <c r="G703" s="10"/>
      <c r="L703" s="1"/>
      <c r="M703" s="1"/>
      <c r="P703" s="1"/>
    </row>
    <row r="704" spans="1:16">
      <c r="A704" s="1"/>
      <c r="B704" s="1"/>
      <c r="C704" s="1"/>
      <c r="D704" s="1"/>
      <c r="E704" s="1"/>
      <c r="F704" s="1"/>
      <c r="G704" s="10"/>
      <c r="L704" s="1"/>
      <c r="M704" s="1"/>
      <c r="P704" s="1"/>
    </row>
    <row r="705" spans="7:11" s="1" customFormat="1">
      <c r="G705" s="10"/>
      <c r="H705" s="163"/>
      <c r="I705" s="163"/>
      <c r="J705" s="568"/>
      <c r="K705" s="163"/>
    </row>
    <row r="706" spans="7:11" s="1" customFormat="1">
      <c r="G706" s="10"/>
      <c r="H706" s="163"/>
      <c r="I706" s="163"/>
      <c r="J706" s="568"/>
      <c r="K706" s="163"/>
    </row>
    <row r="707" spans="7:11" s="1" customFormat="1">
      <c r="G707" s="10"/>
      <c r="H707" s="163"/>
      <c r="I707" s="163"/>
      <c r="J707" s="568"/>
      <c r="K707" s="163"/>
    </row>
    <row r="708" spans="7:11" s="1" customFormat="1">
      <c r="G708" s="10"/>
      <c r="H708" s="163"/>
      <c r="I708" s="163"/>
      <c r="J708" s="568"/>
      <c r="K708" s="163"/>
    </row>
    <row r="709" spans="7:11" s="1" customFormat="1">
      <c r="G709" s="10"/>
      <c r="H709" s="163"/>
      <c r="I709" s="163"/>
      <c r="J709" s="568"/>
      <c r="K709" s="163"/>
    </row>
    <row r="710" spans="7:11" s="1" customFormat="1">
      <c r="G710" s="10"/>
      <c r="H710" s="163"/>
      <c r="I710" s="163"/>
      <c r="J710" s="568"/>
      <c r="K710" s="163"/>
    </row>
    <row r="711" spans="7:11" s="1" customFormat="1">
      <c r="G711" s="10"/>
      <c r="H711" s="163"/>
      <c r="I711" s="163"/>
      <c r="J711" s="568"/>
      <c r="K711" s="163"/>
    </row>
    <row r="712" spans="7:11" s="1" customFormat="1">
      <c r="G712" s="10"/>
      <c r="H712" s="163"/>
      <c r="I712" s="163"/>
      <c r="J712" s="568"/>
      <c r="K712" s="163"/>
    </row>
    <row r="713" spans="7:11" s="1" customFormat="1">
      <c r="G713" s="10"/>
      <c r="H713" s="163"/>
      <c r="I713" s="163"/>
      <c r="J713" s="568"/>
      <c r="K713" s="163"/>
    </row>
    <row r="714" spans="7:11" s="1" customFormat="1">
      <c r="G714" s="10"/>
      <c r="H714" s="163"/>
      <c r="I714" s="163"/>
      <c r="J714" s="568"/>
      <c r="K714" s="163"/>
    </row>
    <row r="715" spans="7:11" s="1" customFormat="1">
      <c r="G715" s="10"/>
      <c r="H715" s="163"/>
      <c r="I715" s="163"/>
      <c r="J715" s="568"/>
      <c r="K715" s="163"/>
    </row>
    <row r="716" spans="7:11" s="1" customFormat="1">
      <c r="G716" s="10"/>
      <c r="H716" s="163"/>
      <c r="I716" s="163"/>
      <c r="J716" s="568"/>
      <c r="K716" s="163"/>
    </row>
    <row r="717" spans="7:11" s="1" customFormat="1">
      <c r="G717" s="10"/>
      <c r="H717" s="163"/>
      <c r="I717" s="163"/>
      <c r="J717" s="568"/>
      <c r="K717" s="163"/>
    </row>
    <row r="718" spans="7:11" s="1" customFormat="1">
      <c r="G718" s="10"/>
      <c r="H718" s="163"/>
      <c r="I718" s="163"/>
      <c r="J718" s="568"/>
      <c r="K718" s="163"/>
    </row>
    <row r="719" spans="7:11" s="1" customFormat="1">
      <c r="G719" s="10"/>
      <c r="H719" s="163"/>
      <c r="I719" s="163"/>
      <c r="J719" s="568"/>
      <c r="K719" s="163"/>
    </row>
    <row r="720" spans="7:11" s="1" customFormat="1">
      <c r="G720" s="10"/>
      <c r="H720" s="163"/>
      <c r="I720" s="163"/>
      <c r="J720" s="568"/>
      <c r="K720" s="163"/>
    </row>
    <row r="721" spans="7:11" s="1" customFormat="1">
      <c r="G721" s="10"/>
      <c r="H721" s="163"/>
      <c r="I721" s="163"/>
      <c r="J721" s="568"/>
      <c r="K721" s="163"/>
    </row>
    <row r="722" spans="7:11" s="1" customFormat="1">
      <c r="G722" s="10"/>
      <c r="H722" s="163"/>
      <c r="I722" s="163"/>
      <c r="J722" s="568"/>
      <c r="K722" s="163"/>
    </row>
    <row r="723" spans="7:11" s="1" customFormat="1">
      <c r="G723" s="10"/>
      <c r="H723" s="163"/>
      <c r="I723" s="163"/>
      <c r="J723" s="568"/>
      <c r="K723" s="163"/>
    </row>
    <row r="724" spans="7:11" s="1" customFormat="1">
      <c r="G724" s="10"/>
      <c r="H724" s="163"/>
      <c r="I724" s="163"/>
      <c r="J724" s="568"/>
      <c r="K724" s="163"/>
    </row>
    <row r="725" spans="7:11" s="1" customFormat="1">
      <c r="G725" s="10"/>
      <c r="H725" s="163"/>
      <c r="I725" s="163"/>
      <c r="J725" s="568"/>
      <c r="K725" s="163"/>
    </row>
    <row r="726" spans="7:11" s="1" customFormat="1">
      <c r="G726" s="10"/>
      <c r="H726" s="163"/>
      <c r="I726" s="163"/>
      <c r="J726" s="568"/>
      <c r="K726" s="163"/>
    </row>
    <row r="727" spans="7:11" s="1" customFormat="1">
      <c r="G727" s="10"/>
      <c r="H727" s="163"/>
      <c r="I727" s="163"/>
      <c r="J727" s="568"/>
      <c r="K727" s="163"/>
    </row>
    <row r="728" spans="7:11" s="1" customFormat="1">
      <c r="G728" s="10"/>
      <c r="H728" s="163"/>
      <c r="I728" s="163"/>
      <c r="J728" s="568"/>
      <c r="K728" s="163"/>
    </row>
    <row r="729" spans="7:11" s="1" customFormat="1">
      <c r="G729" s="10"/>
      <c r="H729" s="163"/>
      <c r="I729" s="163"/>
      <c r="J729" s="568"/>
      <c r="K729" s="163"/>
    </row>
    <row r="730" spans="7:11" s="1" customFormat="1">
      <c r="G730" s="10"/>
      <c r="H730" s="163"/>
      <c r="I730" s="163"/>
      <c r="J730" s="568"/>
      <c r="K730" s="163"/>
    </row>
    <row r="731" spans="7:11" s="1" customFormat="1">
      <c r="G731" s="10"/>
      <c r="H731" s="163"/>
      <c r="I731" s="163"/>
      <c r="J731" s="568"/>
      <c r="K731" s="163"/>
    </row>
    <row r="732" spans="7:11" s="1" customFormat="1">
      <c r="G732" s="10"/>
      <c r="H732" s="163"/>
      <c r="I732" s="163"/>
      <c r="J732" s="568"/>
      <c r="K732" s="163"/>
    </row>
    <row r="733" spans="7:11" s="1" customFormat="1">
      <c r="G733" s="10"/>
      <c r="H733" s="163"/>
      <c r="I733" s="163"/>
      <c r="J733" s="568"/>
      <c r="K733" s="163"/>
    </row>
    <row r="734" spans="7:11" s="1" customFormat="1">
      <c r="G734" s="10"/>
      <c r="H734" s="163"/>
      <c r="I734" s="163"/>
      <c r="J734" s="568"/>
      <c r="K734" s="163"/>
    </row>
    <row r="735" spans="7:11" s="1" customFormat="1">
      <c r="G735" s="10"/>
      <c r="H735" s="163"/>
      <c r="I735" s="163"/>
      <c r="J735" s="568"/>
      <c r="K735" s="163"/>
    </row>
    <row r="736" spans="7:11" s="1" customFormat="1">
      <c r="G736" s="10"/>
      <c r="H736" s="163"/>
      <c r="I736" s="163"/>
      <c r="J736" s="568"/>
      <c r="K736" s="163"/>
    </row>
    <row r="737" spans="7:11" s="1" customFormat="1">
      <c r="G737" s="10"/>
      <c r="H737" s="163"/>
      <c r="I737" s="163"/>
      <c r="J737" s="568"/>
      <c r="K737" s="163"/>
    </row>
    <row r="738" spans="7:11" s="1" customFormat="1">
      <c r="G738" s="10"/>
      <c r="H738" s="163"/>
      <c r="I738" s="163"/>
      <c r="J738" s="568"/>
      <c r="K738" s="163"/>
    </row>
    <row r="739" spans="7:11" s="1" customFormat="1">
      <c r="G739" s="10"/>
      <c r="H739" s="163"/>
      <c r="I739" s="163"/>
      <c r="J739" s="568"/>
      <c r="K739" s="163"/>
    </row>
    <row r="740" spans="7:11" s="1" customFormat="1">
      <c r="G740" s="10"/>
      <c r="H740" s="163"/>
      <c r="I740" s="163"/>
      <c r="J740" s="568"/>
      <c r="K740" s="163"/>
    </row>
    <row r="741" spans="7:11" s="1" customFormat="1">
      <c r="G741" s="10"/>
      <c r="H741" s="163"/>
      <c r="I741" s="163"/>
      <c r="J741" s="568"/>
      <c r="K741" s="163"/>
    </row>
    <row r="742" spans="7:11" s="1" customFormat="1">
      <c r="G742" s="10"/>
      <c r="H742" s="163"/>
      <c r="I742" s="163"/>
      <c r="J742" s="568"/>
      <c r="K742" s="163"/>
    </row>
    <row r="743" spans="7:11" s="1" customFormat="1">
      <c r="G743" s="10"/>
      <c r="H743" s="163"/>
      <c r="I743" s="163"/>
      <c r="J743" s="568"/>
      <c r="K743" s="163"/>
    </row>
    <row r="744" spans="7:11" s="1" customFormat="1">
      <c r="G744" s="10"/>
      <c r="H744" s="163"/>
      <c r="I744" s="163"/>
      <c r="J744" s="568"/>
      <c r="K744" s="163"/>
    </row>
    <row r="745" spans="7:11" s="1" customFormat="1">
      <c r="G745" s="10"/>
      <c r="H745" s="163"/>
      <c r="I745" s="163"/>
      <c r="J745" s="568"/>
      <c r="K745" s="163"/>
    </row>
    <row r="746" spans="7:11" s="1" customFormat="1">
      <c r="G746" s="10"/>
      <c r="H746" s="163"/>
      <c r="I746" s="163"/>
      <c r="J746" s="568"/>
      <c r="K746" s="163"/>
    </row>
    <row r="747" spans="7:11" s="1" customFormat="1">
      <c r="G747" s="10"/>
      <c r="H747" s="163"/>
      <c r="I747" s="163"/>
      <c r="J747" s="568"/>
      <c r="K747" s="163"/>
    </row>
    <row r="748" spans="7:11" s="1" customFormat="1">
      <c r="G748" s="10"/>
      <c r="H748" s="163"/>
      <c r="I748" s="163"/>
      <c r="J748" s="568"/>
      <c r="K748" s="163"/>
    </row>
    <row r="749" spans="7:11" s="1" customFormat="1">
      <c r="G749" s="10"/>
      <c r="H749" s="163"/>
      <c r="I749" s="163"/>
      <c r="J749" s="568"/>
      <c r="K749" s="163"/>
    </row>
    <row r="750" spans="7:11" s="1" customFormat="1">
      <c r="G750" s="10"/>
      <c r="H750" s="163"/>
      <c r="I750" s="163"/>
      <c r="J750" s="568"/>
      <c r="K750" s="163"/>
    </row>
    <row r="751" spans="7:11" s="1" customFormat="1">
      <c r="G751" s="10"/>
      <c r="H751" s="163"/>
      <c r="I751" s="163"/>
      <c r="J751" s="568"/>
      <c r="K751" s="163"/>
    </row>
    <row r="752" spans="7:11" s="1" customFormat="1">
      <c r="G752" s="10"/>
      <c r="H752" s="163"/>
      <c r="I752" s="163"/>
      <c r="J752" s="568"/>
      <c r="K752" s="163"/>
    </row>
    <row r="753" spans="7:11" s="1" customFormat="1">
      <c r="G753" s="10"/>
      <c r="H753" s="163"/>
      <c r="I753" s="163"/>
      <c r="J753" s="568"/>
      <c r="K753" s="163"/>
    </row>
    <row r="754" spans="7:11" s="1" customFormat="1">
      <c r="G754" s="10"/>
      <c r="H754" s="163"/>
      <c r="I754" s="163"/>
      <c r="J754" s="568"/>
      <c r="K754" s="163"/>
    </row>
    <row r="755" spans="7:11" s="1" customFormat="1">
      <c r="G755" s="10"/>
      <c r="H755" s="163"/>
      <c r="I755" s="163"/>
      <c r="J755" s="568"/>
      <c r="K755" s="163"/>
    </row>
    <row r="756" spans="7:11" s="1" customFormat="1">
      <c r="G756" s="10"/>
      <c r="H756" s="163"/>
      <c r="I756" s="163"/>
      <c r="J756" s="568"/>
      <c r="K756" s="163"/>
    </row>
    <row r="757" spans="7:11" s="1" customFormat="1">
      <c r="G757" s="10"/>
      <c r="H757" s="163"/>
      <c r="I757" s="163"/>
      <c r="J757" s="568"/>
      <c r="K757" s="163"/>
    </row>
    <row r="758" spans="7:11" s="1" customFormat="1">
      <c r="G758" s="10"/>
      <c r="H758" s="163"/>
      <c r="I758" s="163"/>
      <c r="J758" s="568"/>
      <c r="K758" s="163"/>
    </row>
    <row r="759" spans="7:11" s="1" customFormat="1">
      <c r="G759" s="10"/>
      <c r="H759" s="163"/>
      <c r="I759" s="163"/>
      <c r="J759" s="568"/>
      <c r="K759" s="163"/>
    </row>
    <row r="760" spans="7:11" s="1" customFormat="1">
      <c r="G760" s="10"/>
      <c r="H760" s="163"/>
      <c r="I760" s="163"/>
      <c r="J760" s="568"/>
      <c r="K760" s="163"/>
    </row>
    <row r="761" spans="7:11" s="1" customFormat="1">
      <c r="G761" s="10"/>
      <c r="H761" s="163"/>
      <c r="I761" s="163"/>
      <c r="J761" s="568"/>
      <c r="K761" s="163"/>
    </row>
    <row r="762" spans="7:11" s="1" customFormat="1">
      <c r="G762" s="10"/>
      <c r="H762" s="163"/>
      <c r="I762" s="163"/>
      <c r="J762" s="568"/>
      <c r="K762" s="163"/>
    </row>
    <row r="763" spans="7:11" s="1" customFormat="1">
      <c r="G763" s="10"/>
      <c r="H763" s="163"/>
      <c r="I763" s="163"/>
      <c r="J763" s="568"/>
      <c r="K763" s="163"/>
    </row>
    <row r="764" spans="7:11" s="1" customFormat="1">
      <c r="G764" s="10"/>
      <c r="H764" s="163"/>
      <c r="I764" s="163"/>
      <c r="J764" s="568"/>
      <c r="K764" s="163"/>
    </row>
    <row r="765" spans="7:11" s="1" customFormat="1">
      <c r="G765" s="10"/>
      <c r="H765" s="163"/>
      <c r="I765" s="163"/>
      <c r="J765" s="568"/>
      <c r="K765" s="163"/>
    </row>
    <row r="766" spans="7:11" s="1" customFormat="1">
      <c r="G766" s="10"/>
      <c r="H766" s="163"/>
      <c r="I766" s="163"/>
      <c r="J766" s="568"/>
      <c r="K766" s="163"/>
    </row>
    <row r="767" spans="7:11" s="1" customFormat="1">
      <c r="G767" s="10"/>
      <c r="H767" s="163"/>
      <c r="I767" s="163"/>
      <c r="J767" s="568"/>
      <c r="K767" s="163"/>
    </row>
    <row r="768" spans="7:11" s="1" customFormat="1">
      <c r="G768" s="10"/>
      <c r="H768" s="163"/>
      <c r="I768" s="163"/>
      <c r="J768" s="568"/>
      <c r="K768" s="163"/>
    </row>
    <row r="769" spans="7:11" s="1" customFormat="1">
      <c r="G769" s="10"/>
      <c r="H769" s="163"/>
      <c r="I769" s="163"/>
      <c r="J769" s="568"/>
      <c r="K769" s="163"/>
    </row>
    <row r="770" spans="7:11" s="1" customFormat="1">
      <c r="G770" s="10"/>
      <c r="H770" s="163"/>
      <c r="I770" s="163"/>
      <c r="J770" s="568"/>
      <c r="K770" s="163"/>
    </row>
    <row r="771" spans="7:11" s="1" customFormat="1">
      <c r="G771" s="10"/>
      <c r="H771" s="163"/>
      <c r="I771" s="163"/>
      <c r="J771" s="568"/>
      <c r="K771" s="163"/>
    </row>
    <row r="772" spans="7:11" s="1" customFormat="1">
      <c r="G772" s="10"/>
      <c r="H772" s="163"/>
      <c r="I772" s="163"/>
      <c r="J772" s="568"/>
      <c r="K772" s="163"/>
    </row>
    <row r="773" spans="7:11" s="1" customFormat="1">
      <c r="G773" s="10"/>
      <c r="H773" s="163"/>
      <c r="I773" s="163"/>
      <c r="J773" s="568"/>
      <c r="K773" s="163"/>
    </row>
    <row r="774" spans="7:11" s="1" customFormat="1">
      <c r="G774" s="10"/>
      <c r="H774" s="163"/>
      <c r="I774" s="163"/>
      <c r="J774" s="568"/>
      <c r="K774" s="163"/>
    </row>
    <row r="775" spans="7:11" s="1" customFormat="1">
      <c r="G775" s="10"/>
      <c r="H775" s="163"/>
      <c r="I775" s="163"/>
      <c r="J775" s="568"/>
      <c r="K775" s="163"/>
    </row>
    <row r="776" spans="7:11" s="1" customFormat="1">
      <c r="G776" s="10"/>
      <c r="H776" s="163"/>
      <c r="I776" s="163"/>
      <c r="J776" s="568"/>
      <c r="K776" s="163"/>
    </row>
    <row r="777" spans="7:11" s="1" customFormat="1">
      <c r="G777" s="10"/>
      <c r="H777" s="163"/>
      <c r="I777" s="163"/>
      <c r="J777" s="568"/>
      <c r="K777" s="163"/>
    </row>
    <row r="778" spans="7:11" s="1" customFormat="1">
      <c r="G778" s="10"/>
      <c r="H778" s="163"/>
      <c r="I778" s="163"/>
      <c r="J778" s="568"/>
      <c r="K778" s="163"/>
    </row>
    <row r="779" spans="7:11" s="1" customFormat="1">
      <c r="G779" s="10"/>
      <c r="H779" s="163"/>
      <c r="I779" s="163"/>
      <c r="J779" s="568"/>
      <c r="K779" s="163"/>
    </row>
    <row r="780" spans="7:11" s="1" customFormat="1">
      <c r="G780" s="10"/>
      <c r="H780" s="163"/>
      <c r="I780" s="163"/>
      <c r="J780" s="568"/>
      <c r="K780" s="163"/>
    </row>
    <row r="781" spans="7:11" s="1" customFormat="1">
      <c r="G781" s="10"/>
      <c r="H781" s="163"/>
      <c r="I781" s="163"/>
      <c r="J781" s="568"/>
      <c r="K781" s="163"/>
    </row>
    <row r="782" spans="7:11" s="1" customFormat="1">
      <c r="G782" s="10"/>
      <c r="H782" s="163"/>
      <c r="I782" s="163"/>
      <c r="J782" s="568"/>
      <c r="K782" s="163"/>
    </row>
    <row r="783" spans="7:11" s="1" customFormat="1">
      <c r="G783" s="10"/>
      <c r="H783" s="163"/>
      <c r="I783" s="163"/>
      <c r="J783" s="568"/>
      <c r="K783" s="163"/>
    </row>
    <row r="784" spans="7:11" s="1" customFormat="1">
      <c r="G784" s="10"/>
      <c r="H784" s="163"/>
      <c r="I784" s="163"/>
      <c r="J784" s="568"/>
      <c r="K784" s="163"/>
    </row>
    <row r="785" spans="7:11" s="1" customFormat="1">
      <c r="G785" s="10"/>
      <c r="H785" s="163"/>
      <c r="I785" s="163"/>
      <c r="J785" s="568"/>
      <c r="K785" s="163"/>
    </row>
    <row r="786" spans="7:11" s="1" customFormat="1">
      <c r="G786" s="10"/>
      <c r="H786" s="163"/>
      <c r="I786" s="163"/>
      <c r="J786" s="568"/>
      <c r="K786" s="163"/>
    </row>
    <row r="787" spans="7:11" s="1" customFormat="1">
      <c r="G787" s="10"/>
      <c r="H787" s="163"/>
      <c r="I787" s="163"/>
      <c r="J787" s="568"/>
      <c r="K787" s="163"/>
    </row>
    <row r="788" spans="7:11" s="1" customFormat="1">
      <c r="G788" s="10"/>
      <c r="H788" s="163"/>
      <c r="I788" s="163"/>
      <c r="J788" s="568"/>
      <c r="K788" s="163"/>
    </row>
    <row r="789" spans="7:11" s="1" customFormat="1">
      <c r="G789" s="10"/>
      <c r="H789" s="163"/>
      <c r="I789" s="163"/>
      <c r="J789" s="568"/>
      <c r="K789" s="163"/>
    </row>
    <row r="790" spans="7:11" s="1" customFormat="1">
      <c r="G790" s="10"/>
      <c r="H790" s="163"/>
      <c r="I790" s="163"/>
      <c r="J790" s="568"/>
      <c r="K790" s="163"/>
    </row>
    <row r="791" spans="7:11" s="1" customFormat="1">
      <c r="G791" s="10"/>
      <c r="H791" s="163"/>
      <c r="I791" s="163"/>
      <c r="J791" s="568"/>
      <c r="K791" s="163"/>
    </row>
    <row r="792" spans="7:11" s="1" customFormat="1">
      <c r="G792" s="10"/>
      <c r="H792" s="163"/>
      <c r="I792" s="163"/>
      <c r="J792" s="568"/>
      <c r="K792" s="163"/>
    </row>
    <row r="793" spans="7:11" s="1" customFormat="1">
      <c r="G793" s="10"/>
      <c r="H793" s="163"/>
      <c r="I793" s="163"/>
      <c r="J793" s="568"/>
      <c r="K793" s="163"/>
    </row>
  </sheetData>
  <mergeCells count="3">
    <mergeCell ref="C1:Q1"/>
    <mergeCell ref="C2:Q2"/>
    <mergeCell ref="C3:Q3"/>
  </mergeCells>
  <printOptions horizontalCentered="1"/>
  <pageMargins left="0.15748031496062992" right="0.15748031496062992" top="0.27559055118110237" bottom="0.43307086614173229" header="0.15748031496062992" footer="0.15748031496062992"/>
  <pageSetup scale="75" firstPageNumber="2" orientation="portrait" useFirstPageNumber="1" horizontalDpi="4294967295" verticalDpi="4294967295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24"/>
  <sheetViews>
    <sheetView topLeftCell="A104" zoomScaleNormal="100" workbookViewId="0">
      <selection activeCell="D123" sqref="D123"/>
    </sheetView>
  </sheetViews>
  <sheetFormatPr defaultColWidth="8" defaultRowHeight="12.75"/>
  <cols>
    <col min="1" max="1" width="1.5703125" style="44" bestFit="1" customWidth="1"/>
    <col min="2" max="2" width="3.5703125" style="44" hidden="1" customWidth="1"/>
    <col min="3" max="3" width="46.5703125" style="44" bestFit="1" customWidth="1"/>
    <col min="4" max="4" width="21.85546875" style="288" customWidth="1"/>
    <col min="5" max="5" width="8.85546875" style="44" hidden="1" customWidth="1"/>
    <col min="6" max="6" width="0.85546875" style="44" customWidth="1"/>
    <col min="7" max="7" width="8" style="44" hidden="1" customWidth="1"/>
    <col min="8" max="8" width="45.42578125" style="44" bestFit="1" customWidth="1"/>
    <col min="9" max="9" width="15.85546875" style="288" bestFit="1" customWidth="1"/>
    <col min="10" max="10" width="1.28515625" style="44" customWidth="1"/>
    <col min="11" max="11" width="8" style="44" hidden="1" customWidth="1"/>
    <col min="12" max="12" width="18.140625" style="44" bestFit="1" customWidth="1"/>
    <col min="13" max="13" width="15.42578125" style="44" bestFit="1" customWidth="1"/>
    <col min="14" max="15" width="8" style="44" customWidth="1"/>
    <col min="16" max="17" width="14.5703125" style="44" bestFit="1" customWidth="1"/>
    <col min="18" max="256" width="8" style="44"/>
    <col min="257" max="258" width="1.5703125" style="44" customWidth="1"/>
    <col min="259" max="259" width="41.28515625" style="44" customWidth="1"/>
    <col min="260" max="260" width="15" style="44" customWidth="1"/>
    <col min="261" max="261" width="0.7109375" style="44" customWidth="1"/>
    <col min="262" max="262" width="0.85546875" style="44" customWidth="1"/>
    <col min="263" max="263" width="1.28515625" style="44" customWidth="1"/>
    <col min="264" max="264" width="51.140625" style="44" bestFit="1" customWidth="1"/>
    <col min="265" max="265" width="16.5703125" style="44" bestFit="1" customWidth="1"/>
    <col min="266" max="266" width="1.28515625" style="44" customWidth="1"/>
    <col min="267" max="267" width="8" style="44" customWidth="1"/>
    <col min="268" max="268" width="18.140625" style="44" bestFit="1" customWidth="1"/>
    <col min="269" max="271" width="8" style="44" customWidth="1"/>
    <col min="272" max="273" width="14.5703125" style="44" bestFit="1" customWidth="1"/>
    <col min="274" max="512" width="8" style="44"/>
    <col min="513" max="514" width="1.5703125" style="44" customWidth="1"/>
    <col min="515" max="515" width="41.28515625" style="44" customWidth="1"/>
    <col min="516" max="516" width="15" style="44" customWidth="1"/>
    <col min="517" max="517" width="0.7109375" style="44" customWidth="1"/>
    <col min="518" max="518" width="0.85546875" style="44" customWidth="1"/>
    <col min="519" max="519" width="1.28515625" style="44" customWidth="1"/>
    <col min="520" max="520" width="51.140625" style="44" bestFit="1" customWidth="1"/>
    <col min="521" max="521" width="16.5703125" style="44" bestFit="1" customWidth="1"/>
    <col min="522" max="522" width="1.28515625" style="44" customWidth="1"/>
    <col min="523" max="523" width="8" style="44" customWidth="1"/>
    <col min="524" max="524" width="18.140625" style="44" bestFit="1" customWidth="1"/>
    <col min="525" max="527" width="8" style="44" customWidth="1"/>
    <col min="528" max="529" width="14.5703125" style="44" bestFit="1" customWidth="1"/>
    <col min="530" max="768" width="8" style="44"/>
    <col min="769" max="770" width="1.5703125" style="44" customWidth="1"/>
    <col min="771" max="771" width="41.28515625" style="44" customWidth="1"/>
    <col min="772" max="772" width="15" style="44" customWidth="1"/>
    <col min="773" max="773" width="0.7109375" style="44" customWidth="1"/>
    <col min="774" max="774" width="0.85546875" style="44" customWidth="1"/>
    <col min="775" max="775" width="1.28515625" style="44" customWidth="1"/>
    <col min="776" max="776" width="51.140625" style="44" bestFit="1" customWidth="1"/>
    <col min="777" max="777" width="16.5703125" style="44" bestFit="1" customWidth="1"/>
    <col min="778" max="778" width="1.28515625" style="44" customWidth="1"/>
    <col min="779" max="779" width="8" style="44" customWidth="1"/>
    <col min="780" max="780" width="18.140625" style="44" bestFit="1" customWidth="1"/>
    <col min="781" max="783" width="8" style="44" customWidth="1"/>
    <col min="784" max="785" width="14.5703125" style="44" bestFit="1" customWidth="1"/>
    <col min="786" max="1024" width="8" style="44"/>
    <col min="1025" max="1026" width="1.5703125" style="44" customWidth="1"/>
    <col min="1027" max="1027" width="41.28515625" style="44" customWidth="1"/>
    <col min="1028" max="1028" width="15" style="44" customWidth="1"/>
    <col min="1029" max="1029" width="0.7109375" style="44" customWidth="1"/>
    <col min="1030" max="1030" width="0.85546875" style="44" customWidth="1"/>
    <col min="1031" max="1031" width="1.28515625" style="44" customWidth="1"/>
    <col min="1032" max="1032" width="51.140625" style="44" bestFit="1" customWidth="1"/>
    <col min="1033" max="1033" width="16.5703125" style="44" bestFit="1" customWidth="1"/>
    <col min="1034" max="1034" width="1.28515625" style="44" customWidth="1"/>
    <col min="1035" max="1035" width="8" style="44" customWidth="1"/>
    <col min="1036" max="1036" width="18.140625" style="44" bestFit="1" customWidth="1"/>
    <col min="1037" max="1039" width="8" style="44" customWidth="1"/>
    <col min="1040" max="1041" width="14.5703125" style="44" bestFit="1" customWidth="1"/>
    <col min="1042" max="1280" width="8" style="44"/>
    <col min="1281" max="1282" width="1.5703125" style="44" customWidth="1"/>
    <col min="1283" max="1283" width="41.28515625" style="44" customWidth="1"/>
    <col min="1284" max="1284" width="15" style="44" customWidth="1"/>
    <col min="1285" max="1285" width="0.7109375" style="44" customWidth="1"/>
    <col min="1286" max="1286" width="0.85546875" style="44" customWidth="1"/>
    <col min="1287" max="1287" width="1.28515625" style="44" customWidth="1"/>
    <col min="1288" max="1288" width="51.140625" style="44" bestFit="1" customWidth="1"/>
    <col min="1289" max="1289" width="16.5703125" style="44" bestFit="1" customWidth="1"/>
    <col min="1290" max="1290" width="1.28515625" style="44" customWidth="1"/>
    <col min="1291" max="1291" width="8" style="44" customWidth="1"/>
    <col min="1292" max="1292" width="18.140625" style="44" bestFit="1" customWidth="1"/>
    <col min="1293" max="1295" width="8" style="44" customWidth="1"/>
    <col min="1296" max="1297" width="14.5703125" style="44" bestFit="1" customWidth="1"/>
    <col min="1298" max="1536" width="8" style="44"/>
    <col min="1537" max="1538" width="1.5703125" style="44" customWidth="1"/>
    <col min="1539" max="1539" width="41.28515625" style="44" customWidth="1"/>
    <col min="1540" max="1540" width="15" style="44" customWidth="1"/>
    <col min="1541" max="1541" width="0.7109375" style="44" customWidth="1"/>
    <col min="1542" max="1542" width="0.85546875" style="44" customWidth="1"/>
    <col min="1543" max="1543" width="1.28515625" style="44" customWidth="1"/>
    <col min="1544" max="1544" width="51.140625" style="44" bestFit="1" customWidth="1"/>
    <col min="1545" max="1545" width="16.5703125" style="44" bestFit="1" customWidth="1"/>
    <col min="1546" max="1546" width="1.28515625" style="44" customWidth="1"/>
    <col min="1547" max="1547" width="8" style="44" customWidth="1"/>
    <col min="1548" max="1548" width="18.140625" style="44" bestFit="1" customWidth="1"/>
    <col min="1549" max="1551" width="8" style="44" customWidth="1"/>
    <col min="1552" max="1553" width="14.5703125" style="44" bestFit="1" customWidth="1"/>
    <col min="1554" max="1792" width="8" style="44"/>
    <col min="1793" max="1794" width="1.5703125" style="44" customWidth="1"/>
    <col min="1795" max="1795" width="41.28515625" style="44" customWidth="1"/>
    <col min="1796" max="1796" width="15" style="44" customWidth="1"/>
    <col min="1797" max="1797" width="0.7109375" style="44" customWidth="1"/>
    <col min="1798" max="1798" width="0.85546875" style="44" customWidth="1"/>
    <col min="1799" max="1799" width="1.28515625" style="44" customWidth="1"/>
    <col min="1800" max="1800" width="51.140625" style="44" bestFit="1" customWidth="1"/>
    <col min="1801" max="1801" width="16.5703125" style="44" bestFit="1" customWidth="1"/>
    <col min="1802" max="1802" width="1.28515625" style="44" customWidth="1"/>
    <col min="1803" max="1803" width="8" style="44" customWidth="1"/>
    <col min="1804" max="1804" width="18.140625" style="44" bestFit="1" customWidth="1"/>
    <col min="1805" max="1807" width="8" style="44" customWidth="1"/>
    <col min="1808" max="1809" width="14.5703125" style="44" bestFit="1" customWidth="1"/>
    <col min="1810" max="2048" width="8" style="44"/>
    <col min="2049" max="2050" width="1.5703125" style="44" customWidth="1"/>
    <col min="2051" max="2051" width="41.28515625" style="44" customWidth="1"/>
    <col min="2052" max="2052" width="15" style="44" customWidth="1"/>
    <col min="2053" max="2053" width="0.7109375" style="44" customWidth="1"/>
    <col min="2054" max="2054" width="0.85546875" style="44" customWidth="1"/>
    <col min="2055" max="2055" width="1.28515625" style="44" customWidth="1"/>
    <col min="2056" max="2056" width="51.140625" style="44" bestFit="1" customWidth="1"/>
    <col min="2057" max="2057" width="16.5703125" style="44" bestFit="1" customWidth="1"/>
    <col min="2058" max="2058" width="1.28515625" style="44" customWidth="1"/>
    <col min="2059" max="2059" width="8" style="44" customWidth="1"/>
    <col min="2060" max="2060" width="18.140625" style="44" bestFit="1" customWidth="1"/>
    <col min="2061" max="2063" width="8" style="44" customWidth="1"/>
    <col min="2064" max="2065" width="14.5703125" style="44" bestFit="1" customWidth="1"/>
    <col min="2066" max="2304" width="8" style="44"/>
    <col min="2305" max="2306" width="1.5703125" style="44" customWidth="1"/>
    <col min="2307" max="2307" width="41.28515625" style="44" customWidth="1"/>
    <col min="2308" max="2308" width="15" style="44" customWidth="1"/>
    <col min="2309" max="2309" width="0.7109375" style="44" customWidth="1"/>
    <col min="2310" max="2310" width="0.85546875" style="44" customWidth="1"/>
    <col min="2311" max="2311" width="1.28515625" style="44" customWidth="1"/>
    <col min="2312" max="2312" width="51.140625" style="44" bestFit="1" customWidth="1"/>
    <col min="2313" max="2313" width="16.5703125" style="44" bestFit="1" customWidth="1"/>
    <col min="2314" max="2314" width="1.28515625" style="44" customWidth="1"/>
    <col min="2315" max="2315" width="8" style="44" customWidth="1"/>
    <col min="2316" max="2316" width="18.140625" style="44" bestFit="1" customWidth="1"/>
    <col min="2317" max="2319" width="8" style="44" customWidth="1"/>
    <col min="2320" max="2321" width="14.5703125" style="44" bestFit="1" customWidth="1"/>
    <col min="2322" max="2560" width="8" style="44"/>
    <col min="2561" max="2562" width="1.5703125" style="44" customWidth="1"/>
    <col min="2563" max="2563" width="41.28515625" style="44" customWidth="1"/>
    <col min="2564" max="2564" width="15" style="44" customWidth="1"/>
    <col min="2565" max="2565" width="0.7109375" style="44" customWidth="1"/>
    <col min="2566" max="2566" width="0.85546875" style="44" customWidth="1"/>
    <col min="2567" max="2567" width="1.28515625" style="44" customWidth="1"/>
    <col min="2568" max="2568" width="51.140625" style="44" bestFit="1" customWidth="1"/>
    <col min="2569" max="2569" width="16.5703125" style="44" bestFit="1" customWidth="1"/>
    <col min="2570" max="2570" width="1.28515625" style="44" customWidth="1"/>
    <col min="2571" max="2571" width="8" style="44" customWidth="1"/>
    <col min="2572" max="2572" width="18.140625" style="44" bestFit="1" customWidth="1"/>
    <col min="2573" max="2575" width="8" style="44" customWidth="1"/>
    <col min="2576" max="2577" width="14.5703125" style="44" bestFit="1" customWidth="1"/>
    <col min="2578" max="2816" width="8" style="44"/>
    <col min="2817" max="2818" width="1.5703125" style="44" customWidth="1"/>
    <col min="2819" max="2819" width="41.28515625" style="44" customWidth="1"/>
    <col min="2820" max="2820" width="15" style="44" customWidth="1"/>
    <col min="2821" max="2821" width="0.7109375" style="44" customWidth="1"/>
    <col min="2822" max="2822" width="0.85546875" style="44" customWidth="1"/>
    <col min="2823" max="2823" width="1.28515625" style="44" customWidth="1"/>
    <col min="2824" max="2824" width="51.140625" style="44" bestFit="1" customWidth="1"/>
    <col min="2825" max="2825" width="16.5703125" style="44" bestFit="1" customWidth="1"/>
    <col min="2826" max="2826" width="1.28515625" style="44" customWidth="1"/>
    <col min="2827" max="2827" width="8" style="44" customWidth="1"/>
    <col min="2828" max="2828" width="18.140625" style="44" bestFit="1" customWidth="1"/>
    <col min="2829" max="2831" width="8" style="44" customWidth="1"/>
    <col min="2832" max="2833" width="14.5703125" style="44" bestFit="1" customWidth="1"/>
    <col min="2834" max="3072" width="8" style="44"/>
    <col min="3073" max="3074" width="1.5703125" style="44" customWidth="1"/>
    <col min="3075" max="3075" width="41.28515625" style="44" customWidth="1"/>
    <col min="3076" max="3076" width="15" style="44" customWidth="1"/>
    <col min="3077" max="3077" width="0.7109375" style="44" customWidth="1"/>
    <col min="3078" max="3078" width="0.85546875" style="44" customWidth="1"/>
    <col min="3079" max="3079" width="1.28515625" style="44" customWidth="1"/>
    <col min="3080" max="3080" width="51.140625" style="44" bestFit="1" customWidth="1"/>
    <col min="3081" max="3081" width="16.5703125" style="44" bestFit="1" customWidth="1"/>
    <col min="3082" max="3082" width="1.28515625" style="44" customWidth="1"/>
    <col min="3083" max="3083" width="8" style="44" customWidth="1"/>
    <col min="3084" max="3084" width="18.140625" style="44" bestFit="1" customWidth="1"/>
    <col min="3085" max="3087" width="8" style="44" customWidth="1"/>
    <col min="3088" max="3089" width="14.5703125" style="44" bestFit="1" customWidth="1"/>
    <col min="3090" max="3328" width="8" style="44"/>
    <col min="3329" max="3330" width="1.5703125" style="44" customWidth="1"/>
    <col min="3331" max="3331" width="41.28515625" style="44" customWidth="1"/>
    <col min="3332" max="3332" width="15" style="44" customWidth="1"/>
    <col min="3333" max="3333" width="0.7109375" style="44" customWidth="1"/>
    <col min="3334" max="3334" width="0.85546875" style="44" customWidth="1"/>
    <col min="3335" max="3335" width="1.28515625" style="44" customWidth="1"/>
    <col min="3336" max="3336" width="51.140625" style="44" bestFit="1" customWidth="1"/>
    <col min="3337" max="3337" width="16.5703125" style="44" bestFit="1" customWidth="1"/>
    <col min="3338" max="3338" width="1.28515625" style="44" customWidth="1"/>
    <col min="3339" max="3339" width="8" style="44" customWidth="1"/>
    <col min="3340" max="3340" width="18.140625" style="44" bestFit="1" customWidth="1"/>
    <col min="3341" max="3343" width="8" style="44" customWidth="1"/>
    <col min="3344" max="3345" width="14.5703125" style="44" bestFit="1" customWidth="1"/>
    <col min="3346" max="3584" width="8" style="44"/>
    <col min="3585" max="3586" width="1.5703125" style="44" customWidth="1"/>
    <col min="3587" max="3587" width="41.28515625" style="44" customWidth="1"/>
    <col min="3588" max="3588" width="15" style="44" customWidth="1"/>
    <col min="3589" max="3589" width="0.7109375" style="44" customWidth="1"/>
    <col min="3590" max="3590" width="0.85546875" style="44" customWidth="1"/>
    <col min="3591" max="3591" width="1.28515625" style="44" customWidth="1"/>
    <col min="3592" max="3592" width="51.140625" style="44" bestFit="1" customWidth="1"/>
    <col min="3593" max="3593" width="16.5703125" style="44" bestFit="1" customWidth="1"/>
    <col min="3594" max="3594" width="1.28515625" style="44" customWidth="1"/>
    <col min="3595" max="3595" width="8" style="44" customWidth="1"/>
    <col min="3596" max="3596" width="18.140625" style="44" bestFit="1" customWidth="1"/>
    <col min="3597" max="3599" width="8" style="44" customWidth="1"/>
    <col min="3600" max="3601" width="14.5703125" style="44" bestFit="1" customWidth="1"/>
    <col min="3602" max="3840" width="8" style="44"/>
    <col min="3841" max="3842" width="1.5703125" style="44" customWidth="1"/>
    <col min="3843" max="3843" width="41.28515625" style="44" customWidth="1"/>
    <col min="3844" max="3844" width="15" style="44" customWidth="1"/>
    <col min="3845" max="3845" width="0.7109375" style="44" customWidth="1"/>
    <col min="3846" max="3846" width="0.85546875" style="44" customWidth="1"/>
    <col min="3847" max="3847" width="1.28515625" style="44" customWidth="1"/>
    <col min="3848" max="3848" width="51.140625" style="44" bestFit="1" customWidth="1"/>
    <col min="3849" max="3849" width="16.5703125" style="44" bestFit="1" customWidth="1"/>
    <col min="3850" max="3850" width="1.28515625" style="44" customWidth="1"/>
    <col min="3851" max="3851" width="8" style="44" customWidth="1"/>
    <col min="3852" max="3852" width="18.140625" style="44" bestFit="1" customWidth="1"/>
    <col min="3853" max="3855" width="8" style="44" customWidth="1"/>
    <col min="3856" max="3857" width="14.5703125" style="44" bestFit="1" customWidth="1"/>
    <col min="3858" max="4096" width="8" style="44"/>
    <col min="4097" max="4098" width="1.5703125" style="44" customWidth="1"/>
    <col min="4099" max="4099" width="41.28515625" style="44" customWidth="1"/>
    <col min="4100" max="4100" width="15" style="44" customWidth="1"/>
    <col min="4101" max="4101" width="0.7109375" style="44" customWidth="1"/>
    <col min="4102" max="4102" width="0.85546875" style="44" customWidth="1"/>
    <col min="4103" max="4103" width="1.28515625" style="44" customWidth="1"/>
    <col min="4104" max="4104" width="51.140625" style="44" bestFit="1" customWidth="1"/>
    <col min="4105" max="4105" width="16.5703125" style="44" bestFit="1" customWidth="1"/>
    <col min="4106" max="4106" width="1.28515625" style="44" customWidth="1"/>
    <col min="4107" max="4107" width="8" style="44" customWidth="1"/>
    <col min="4108" max="4108" width="18.140625" style="44" bestFit="1" customWidth="1"/>
    <col min="4109" max="4111" width="8" style="44" customWidth="1"/>
    <col min="4112" max="4113" width="14.5703125" style="44" bestFit="1" customWidth="1"/>
    <col min="4114" max="4352" width="8" style="44"/>
    <col min="4353" max="4354" width="1.5703125" style="44" customWidth="1"/>
    <col min="4355" max="4355" width="41.28515625" style="44" customWidth="1"/>
    <col min="4356" max="4356" width="15" style="44" customWidth="1"/>
    <col min="4357" max="4357" width="0.7109375" style="44" customWidth="1"/>
    <col min="4358" max="4358" width="0.85546875" style="44" customWidth="1"/>
    <col min="4359" max="4359" width="1.28515625" style="44" customWidth="1"/>
    <col min="4360" max="4360" width="51.140625" style="44" bestFit="1" customWidth="1"/>
    <col min="4361" max="4361" width="16.5703125" style="44" bestFit="1" customWidth="1"/>
    <col min="4362" max="4362" width="1.28515625" style="44" customWidth="1"/>
    <col min="4363" max="4363" width="8" style="44" customWidth="1"/>
    <col min="4364" max="4364" width="18.140625" style="44" bestFit="1" customWidth="1"/>
    <col min="4365" max="4367" width="8" style="44" customWidth="1"/>
    <col min="4368" max="4369" width="14.5703125" style="44" bestFit="1" customWidth="1"/>
    <col min="4370" max="4608" width="8" style="44"/>
    <col min="4609" max="4610" width="1.5703125" style="44" customWidth="1"/>
    <col min="4611" max="4611" width="41.28515625" style="44" customWidth="1"/>
    <col min="4612" max="4612" width="15" style="44" customWidth="1"/>
    <col min="4613" max="4613" width="0.7109375" style="44" customWidth="1"/>
    <col min="4614" max="4614" width="0.85546875" style="44" customWidth="1"/>
    <col min="4615" max="4615" width="1.28515625" style="44" customWidth="1"/>
    <col min="4616" max="4616" width="51.140625" style="44" bestFit="1" customWidth="1"/>
    <col min="4617" max="4617" width="16.5703125" style="44" bestFit="1" customWidth="1"/>
    <col min="4618" max="4618" width="1.28515625" style="44" customWidth="1"/>
    <col min="4619" max="4619" width="8" style="44" customWidth="1"/>
    <col min="4620" max="4620" width="18.140625" style="44" bestFit="1" customWidth="1"/>
    <col min="4621" max="4623" width="8" style="44" customWidth="1"/>
    <col min="4624" max="4625" width="14.5703125" style="44" bestFit="1" customWidth="1"/>
    <col min="4626" max="4864" width="8" style="44"/>
    <col min="4865" max="4866" width="1.5703125" style="44" customWidth="1"/>
    <col min="4867" max="4867" width="41.28515625" style="44" customWidth="1"/>
    <col min="4868" max="4868" width="15" style="44" customWidth="1"/>
    <col min="4869" max="4869" width="0.7109375" style="44" customWidth="1"/>
    <col min="4870" max="4870" width="0.85546875" style="44" customWidth="1"/>
    <col min="4871" max="4871" width="1.28515625" style="44" customWidth="1"/>
    <col min="4872" max="4872" width="51.140625" style="44" bestFit="1" customWidth="1"/>
    <col min="4873" max="4873" width="16.5703125" style="44" bestFit="1" customWidth="1"/>
    <col min="4874" max="4874" width="1.28515625" style="44" customWidth="1"/>
    <col min="4875" max="4875" width="8" style="44" customWidth="1"/>
    <col min="4876" max="4876" width="18.140625" style="44" bestFit="1" customWidth="1"/>
    <col min="4877" max="4879" width="8" style="44" customWidth="1"/>
    <col min="4880" max="4881" width="14.5703125" style="44" bestFit="1" customWidth="1"/>
    <col min="4882" max="5120" width="8" style="44"/>
    <col min="5121" max="5122" width="1.5703125" style="44" customWidth="1"/>
    <col min="5123" max="5123" width="41.28515625" style="44" customWidth="1"/>
    <col min="5124" max="5124" width="15" style="44" customWidth="1"/>
    <col min="5125" max="5125" width="0.7109375" style="44" customWidth="1"/>
    <col min="5126" max="5126" width="0.85546875" style="44" customWidth="1"/>
    <col min="5127" max="5127" width="1.28515625" style="44" customWidth="1"/>
    <col min="5128" max="5128" width="51.140625" style="44" bestFit="1" customWidth="1"/>
    <col min="5129" max="5129" width="16.5703125" style="44" bestFit="1" customWidth="1"/>
    <col min="5130" max="5130" width="1.28515625" style="44" customWidth="1"/>
    <col min="5131" max="5131" width="8" style="44" customWidth="1"/>
    <col min="5132" max="5132" width="18.140625" style="44" bestFit="1" customWidth="1"/>
    <col min="5133" max="5135" width="8" style="44" customWidth="1"/>
    <col min="5136" max="5137" width="14.5703125" style="44" bestFit="1" customWidth="1"/>
    <col min="5138" max="5376" width="8" style="44"/>
    <col min="5377" max="5378" width="1.5703125" style="44" customWidth="1"/>
    <col min="5379" max="5379" width="41.28515625" style="44" customWidth="1"/>
    <col min="5380" max="5380" width="15" style="44" customWidth="1"/>
    <col min="5381" max="5381" width="0.7109375" style="44" customWidth="1"/>
    <col min="5382" max="5382" width="0.85546875" style="44" customWidth="1"/>
    <col min="5383" max="5383" width="1.28515625" style="44" customWidth="1"/>
    <col min="5384" max="5384" width="51.140625" style="44" bestFit="1" customWidth="1"/>
    <col min="5385" max="5385" width="16.5703125" style="44" bestFit="1" customWidth="1"/>
    <col min="5386" max="5386" width="1.28515625" style="44" customWidth="1"/>
    <col min="5387" max="5387" width="8" style="44" customWidth="1"/>
    <col min="5388" max="5388" width="18.140625" style="44" bestFit="1" customWidth="1"/>
    <col min="5389" max="5391" width="8" style="44" customWidth="1"/>
    <col min="5392" max="5393" width="14.5703125" style="44" bestFit="1" customWidth="1"/>
    <col min="5394" max="5632" width="8" style="44"/>
    <col min="5633" max="5634" width="1.5703125" style="44" customWidth="1"/>
    <col min="5635" max="5635" width="41.28515625" style="44" customWidth="1"/>
    <col min="5636" max="5636" width="15" style="44" customWidth="1"/>
    <col min="5637" max="5637" width="0.7109375" style="44" customWidth="1"/>
    <col min="5638" max="5638" width="0.85546875" style="44" customWidth="1"/>
    <col min="5639" max="5639" width="1.28515625" style="44" customWidth="1"/>
    <col min="5640" max="5640" width="51.140625" style="44" bestFit="1" customWidth="1"/>
    <col min="5641" max="5641" width="16.5703125" style="44" bestFit="1" customWidth="1"/>
    <col min="5642" max="5642" width="1.28515625" style="44" customWidth="1"/>
    <col min="5643" max="5643" width="8" style="44" customWidth="1"/>
    <col min="5644" max="5644" width="18.140625" style="44" bestFit="1" customWidth="1"/>
    <col min="5645" max="5647" width="8" style="44" customWidth="1"/>
    <col min="5648" max="5649" width="14.5703125" style="44" bestFit="1" customWidth="1"/>
    <col min="5650" max="5888" width="8" style="44"/>
    <col min="5889" max="5890" width="1.5703125" style="44" customWidth="1"/>
    <col min="5891" max="5891" width="41.28515625" style="44" customWidth="1"/>
    <col min="5892" max="5892" width="15" style="44" customWidth="1"/>
    <col min="5893" max="5893" width="0.7109375" style="44" customWidth="1"/>
    <col min="5894" max="5894" width="0.85546875" style="44" customWidth="1"/>
    <col min="5895" max="5895" width="1.28515625" style="44" customWidth="1"/>
    <col min="5896" max="5896" width="51.140625" style="44" bestFit="1" customWidth="1"/>
    <col min="5897" max="5897" width="16.5703125" style="44" bestFit="1" customWidth="1"/>
    <col min="5898" max="5898" width="1.28515625" style="44" customWidth="1"/>
    <col min="5899" max="5899" width="8" style="44" customWidth="1"/>
    <col min="5900" max="5900" width="18.140625" style="44" bestFit="1" customWidth="1"/>
    <col min="5901" max="5903" width="8" style="44" customWidth="1"/>
    <col min="5904" max="5905" width="14.5703125" style="44" bestFit="1" customWidth="1"/>
    <col min="5906" max="6144" width="8" style="44"/>
    <col min="6145" max="6146" width="1.5703125" style="44" customWidth="1"/>
    <col min="6147" max="6147" width="41.28515625" style="44" customWidth="1"/>
    <col min="6148" max="6148" width="15" style="44" customWidth="1"/>
    <col min="6149" max="6149" width="0.7109375" style="44" customWidth="1"/>
    <col min="6150" max="6150" width="0.85546875" style="44" customWidth="1"/>
    <col min="6151" max="6151" width="1.28515625" style="44" customWidth="1"/>
    <col min="6152" max="6152" width="51.140625" style="44" bestFit="1" customWidth="1"/>
    <col min="6153" max="6153" width="16.5703125" style="44" bestFit="1" customWidth="1"/>
    <col min="6154" max="6154" width="1.28515625" style="44" customWidth="1"/>
    <col min="6155" max="6155" width="8" style="44" customWidth="1"/>
    <col min="6156" max="6156" width="18.140625" style="44" bestFit="1" customWidth="1"/>
    <col min="6157" max="6159" width="8" style="44" customWidth="1"/>
    <col min="6160" max="6161" width="14.5703125" style="44" bestFit="1" customWidth="1"/>
    <col min="6162" max="6400" width="8" style="44"/>
    <col min="6401" max="6402" width="1.5703125" style="44" customWidth="1"/>
    <col min="6403" max="6403" width="41.28515625" style="44" customWidth="1"/>
    <col min="6404" max="6404" width="15" style="44" customWidth="1"/>
    <col min="6405" max="6405" width="0.7109375" style="44" customWidth="1"/>
    <col min="6406" max="6406" width="0.85546875" style="44" customWidth="1"/>
    <col min="6407" max="6407" width="1.28515625" style="44" customWidth="1"/>
    <col min="6408" max="6408" width="51.140625" style="44" bestFit="1" customWidth="1"/>
    <col min="6409" max="6409" width="16.5703125" style="44" bestFit="1" customWidth="1"/>
    <col min="6410" max="6410" width="1.28515625" style="44" customWidth="1"/>
    <col min="6411" max="6411" width="8" style="44" customWidth="1"/>
    <col min="6412" max="6412" width="18.140625" style="44" bestFit="1" customWidth="1"/>
    <col min="6413" max="6415" width="8" style="44" customWidth="1"/>
    <col min="6416" max="6417" width="14.5703125" style="44" bestFit="1" customWidth="1"/>
    <col min="6418" max="6656" width="8" style="44"/>
    <col min="6657" max="6658" width="1.5703125" style="44" customWidth="1"/>
    <col min="6659" max="6659" width="41.28515625" style="44" customWidth="1"/>
    <col min="6660" max="6660" width="15" style="44" customWidth="1"/>
    <col min="6661" max="6661" width="0.7109375" style="44" customWidth="1"/>
    <col min="6662" max="6662" width="0.85546875" style="44" customWidth="1"/>
    <col min="6663" max="6663" width="1.28515625" style="44" customWidth="1"/>
    <col min="6664" max="6664" width="51.140625" style="44" bestFit="1" customWidth="1"/>
    <col min="6665" max="6665" width="16.5703125" style="44" bestFit="1" customWidth="1"/>
    <col min="6666" max="6666" width="1.28515625" style="44" customWidth="1"/>
    <col min="6667" max="6667" width="8" style="44" customWidth="1"/>
    <col min="6668" max="6668" width="18.140625" style="44" bestFit="1" customWidth="1"/>
    <col min="6669" max="6671" width="8" style="44" customWidth="1"/>
    <col min="6672" max="6673" width="14.5703125" style="44" bestFit="1" customWidth="1"/>
    <col min="6674" max="6912" width="8" style="44"/>
    <col min="6913" max="6914" width="1.5703125" style="44" customWidth="1"/>
    <col min="6915" max="6915" width="41.28515625" style="44" customWidth="1"/>
    <col min="6916" max="6916" width="15" style="44" customWidth="1"/>
    <col min="6917" max="6917" width="0.7109375" style="44" customWidth="1"/>
    <col min="6918" max="6918" width="0.85546875" style="44" customWidth="1"/>
    <col min="6919" max="6919" width="1.28515625" style="44" customWidth="1"/>
    <col min="6920" max="6920" width="51.140625" style="44" bestFit="1" customWidth="1"/>
    <col min="6921" max="6921" width="16.5703125" style="44" bestFit="1" customWidth="1"/>
    <col min="6922" max="6922" width="1.28515625" style="44" customWidth="1"/>
    <col min="6923" max="6923" width="8" style="44" customWidth="1"/>
    <col min="6924" max="6924" width="18.140625" style="44" bestFit="1" customWidth="1"/>
    <col min="6925" max="6927" width="8" style="44" customWidth="1"/>
    <col min="6928" max="6929" width="14.5703125" style="44" bestFit="1" customWidth="1"/>
    <col min="6930" max="7168" width="8" style="44"/>
    <col min="7169" max="7170" width="1.5703125" style="44" customWidth="1"/>
    <col min="7171" max="7171" width="41.28515625" style="44" customWidth="1"/>
    <col min="7172" max="7172" width="15" style="44" customWidth="1"/>
    <col min="7173" max="7173" width="0.7109375" style="44" customWidth="1"/>
    <col min="7174" max="7174" width="0.85546875" style="44" customWidth="1"/>
    <col min="7175" max="7175" width="1.28515625" style="44" customWidth="1"/>
    <col min="7176" max="7176" width="51.140625" style="44" bestFit="1" customWidth="1"/>
    <col min="7177" max="7177" width="16.5703125" style="44" bestFit="1" customWidth="1"/>
    <col min="7178" max="7178" width="1.28515625" style="44" customWidth="1"/>
    <col min="7179" max="7179" width="8" style="44" customWidth="1"/>
    <col min="7180" max="7180" width="18.140625" style="44" bestFit="1" customWidth="1"/>
    <col min="7181" max="7183" width="8" style="44" customWidth="1"/>
    <col min="7184" max="7185" width="14.5703125" style="44" bestFit="1" customWidth="1"/>
    <col min="7186" max="7424" width="8" style="44"/>
    <col min="7425" max="7426" width="1.5703125" style="44" customWidth="1"/>
    <col min="7427" max="7427" width="41.28515625" style="44" customWidth="1"/>
    <col min="7428" max="7428" width="15" style="44" customWidth="1"/>
    <col min="7429" max="7429" width="0.7109375" style="44" customWidth="1"/>
    <col min="7430" max="7430" width="0.85546875" style="44" customWidth="1"/>
    <col min="7431" max="7431" width="1.28515625" style="44" customWidth="1"/>
    <col min="7432" max="7432" width="51.140625" style="44" bestFit="1" customWidth="1"/>
    <col min="7433" max="7433" width="16.5703125" style="44" bestFit="1" customWidth="1"/>
    <col min="7434" max="7434" width="1.28515625" style="44" customWidth="1"/>
    <col min="7435" max="7435" width="8" style="44" customWidth="1"/>
    <col min="7436" max="7436" width="18.140625" style="44" bestFit="1" customWidth="1"/>
    <col min="7437" max="7439" width="8" style="44" customWidth="1"/>
    <col min="7440" max="7441" width="14.5703125" style="44" bestFit="1" customWidth="1"/>
    <col min="7442" max="7680" width="8" style="44"/>
    <col min="7681" max="7682" width="1.5703125" style="44" customWidth="1"/>
    <col min="7683" max="7683" width="41.28515625" style="44" customWidth="1"/>
    <col min="7684" max="7684" width="15" style="44" customWidth="1"/>
    <col min="7685" max="7685" width="0.7109375" style="44" customWidth="1"/>
    <col min="7686" max="7686" width="0.85546875" style="44" customWidth="1"/>
    <col min="7687" max="7687" width="1.28515625" style="44" customWidth="1"/>
    <col min="7688" max="7688" width="51.140625" style="44" bestFit="1" customWidth="1"/>
    <col min="7689" max="7689" width="16.5703125" style="44" bestFit="1" customWidth="1"/>
    <col min="7690" max="7690" width="1.28515625" style="44" customWidth="1"/>
    <col min="7691" max="7691" width="8" style="44" customWidth="1"/>
    <col min="7692" max="7692" width="18.140625" style="44" bestFit="1" customWidth="1"/>
    <col min="7693" max="7695" width="8" style="44" customWidth="1"/>
    <col min="7696" max="7697" width="14.5703125" style="44" bestFit="1" customWidth="1"/>
    <col min="7698" max="7936" width="8" style="44"/>
    <col min="7937" max="7938" width="1.5703125" style="44" customWidth="1"/>
    <col min="7939" max="7939" width="41.28515625" style="44" customWidth="1"/>
    <col min="7940" max="7940" width="15" style="44" customWidth="1"/>
    <col min="7941" max="7941" width="0.7109375" style="44" customWidth="1"/>
    <col min="7942" max="7942" width="0.85546875" style="44" customWidth="1"/>
    <col min="7943" max="7943" width="1.28515625" style="44" customWidth="1"/>
    <col min="7944" max="7944" width="51.140625" style="44" bestFit="1" customWidth="1"/>
    <col min="7945" max="7945" width="16.5703125" style="44" bestFit="1" customWidth="1"/>
    <col min="7946" max="7946" width="1.28515625" style="44" customWidth="1"/>
    <col min="7947" max="7947" width="8" style="44" customWidth="1"/>
    <col min="7948" max="7948" width="18.140625" style="44" bestFit="1" customWidth="1"/>
    <col min="7949" max="7951" width="8" style="44" customWidth="1"/>
    <col min="7952" max="7953" width="14.5703125" style="44" bestFit="1" customWidth="1"/>
    <col min="7954" max="8192" width="8" style="44"/>
    <col min="8193" max="8194" width="1.5703125" style="44" customWidth="1"/>
    <col min="8195" max="8195" width="41.28515625" style="44" customWidth="1"/>
    <col min="8196" max="8196" width="15" style="44" customWidth="1"/>
    <col min="8197" max="8197" width="0.7109375" style="44" customWidth="1"/>
    <col min="8198" max="8198" width="0.85546875" style="44" customWidth="1"/>
    <col min="8199" max="8199" width="1.28515625" style="44" customWidth="1"/>
    <col min="8200" max="8200" width="51.140625" style="44" bestFit="1" customWidth="1"/>
    <col min="8201" max="8201" width="16.5703125" style="44" bestFit="1" customWidth="1"/>
    <col min="8202" max="8202" width="1.28515625" style="44" customWidth="1"/>
    <col min="8203" max="8203" width="8" style="44" customWidth="1"/>
    <col min="8204" max="8204" width="18.140625" style="44" bestFit="1" customWidth="1"/>
    <col min="8205" max="8207" width="8" style="44" customWidth="1"/>
    <col min="8208" max="8209" width="14.5703125" style="44" bestFit="1" customWidth="1"/>
    <col min="8210" max="8448" width="8" style="44"/>
    <col min="8449" max="8450" width="1.5703125" style="44" customWidth="1"/>
    <col min="8451" max="8451" width="41.28515625" style="44" customWidth="1"/>
    <col min="8452" max="8452" width="15" style="44" customWidth="1"/>
    <col min="8453" max="8453" width="0.7109375" style="44" customWidth="1"/>
    <col min="8454" max="8454" width="0.85546875" style="44" customWidth="1"/>
    <col min="8455" max="8455" width="1.28515625" style="44" customWidth="1"/>
    <col min="8456" max="8456" width="51.140625" style="44" bestFit="1" customWidth="1"/>
    <col min="8457" max="8457" width="16.5703125" style="44" bestFit="1" customWidth="1"/>
    <col min="8458" max="8458" width="1.28515625" style="44" customWidth="1"/>
    <col min="8459" max="8459" width="8" style="44" customWidth="1"/>
    <col min="8460" max="8460" width="18.140625" style="44" bestFit="1" customWidth="1"/>
    <col min="8461" max="8463" width="8" style="44" customWidth="1"/>
    <col min="8464" max="8465" width="14.5703125" style="44" bestFit="1" customWidth="1"/>
    <col min="8466" max="8704" width="8" style="44"/>
    <col min="8705" max="8706" width="1.5703125" style="44" customWidth="1"/>
    <col min="8707" max="8707" width="41.28515625" style="44" customWidth="1"/>
    <col min="8708" max="8708" width="15" style="44" customWidth="1"/>
    <col min="8709" max="8709" width="0.7109375" style="44" customWidth="1"/>
    <col min="8710" max="8710" width="0.85546875" style="44" customWidth="1"/>
    <col min="8711" max="8711" width="1.28515625" style="44" customWidth="1"/>
    <col min="8712" max="8712" width="51.140625" style="44" bestFit="1" customWidth="1"/>
    <col min="8713" max="8713" width="16.5703125" style="44" bestFit="1" customWidth="1"/>
    <col min="8714" max="8714" width="1.28515625" style="44" customWidth="1"/>
    <col min="8715" max="8715" width="8" style="44" customWidth="1"/>
    <col min="8716" max="8716" width="18.140625" style="44" bestFit="1" customWidth="1"/>
    <col min="8717" max="8719" width="8" style="44" customWidth="1"/>
    <col min="8720" max="8721" width="14.5703125" style="44" bestFit="1" customWidth="1"/>
    <col min="8722" max="8960" width="8" style="44"/>
    <col min="8961" max="8962" width="1.5703125" style="44" customWidth="1"/>
    <col min="8963" max="8963" width="41.28515625" style="44" customWidth="1"/>
    <col min="8964" max="8964" width="15" style="44" customWidth="1"/>
    <col min="8965" max="8965" width="0.7109375" style="44" customWidth="1"/>
    <col min="8966" max="8966" width="0.85546875" style="44" customWidth="1"/>
    <col min="8967" max="8967" width="1.28515625" style="44" customWidth="1"/>
    <col min="8968" max="8968" width="51.140625" style="44" bestFit="1" customWidth="1"/>
    <col min="8969" max="8969" width="16.5703125" style="44" bestFit="1" customWidth="1"/>
    <col min="8970" max="8970" width="1.28515625" style="44" customWidth="1"/>
    <col min="8971" max="8971" width="8" style="44" customWidth="1"/>
    <col min="8972" max="8972" width="18.140625" style="44" bestFit="1" customWidth="1"/>
    <col min="8973" max="8975" width="8" style="44" customWidth="1"/>
    <col min="8976" max="8977" width="14.5703125" style="44" bestFit="1" customWidth="1"/>
    <col min="8978" max="9216" width="8" style="44"/>
    <col min="9217" max="9218" width="1.5703125" style="44" customWidth="1"/>
    <col min="9219" max="9219" width="41.28515625" style="44" customWidth="1"/>
    <col min="9220" max="9220" width="15" style="44" customWidth="1"/>
    <col min="9221" max="9221" width="0.7109375" style="44" customWidth="1"/>
    <col min="9222" max="9222" width="0.85546875" style="44" customWidth="1"/>
    <col min="9223" max="9223" width="1.28515625" style="44" customWidth="1"/>
    <col min="9224" max="9224" width="51.140625" style="44" bestFit="1" customWidth="1"/>
    <col min="9225" max="9225" width="16.5703125" style="44" bestFit="1" customWidth="1"/>
    <col min="9226" max="9226" width="1.28515625" style="44" customWidth="1"/>
    <col min="9227" max="9227" width="8" style="44" customWidth="1"/>
    <col min="9228" max="9228" width="18.140625" style="44" bestFit="1" customWidth="1"/>
    <col min="9229" max="9231" width="8" style="44" customWidth="1"/>
    <col min="9232" max="9233" width="14.5703125" style="44" bestFit="1" customWidth="1"/>
    <col min="9234" max="9472" width="8" style="44"/>
    <col min="9473" max="9474" width="1.5703125" style="44" customWidth="1"/>
    <col min="9475" max="9475" width="41.28515625" style="44" customWidth="1"/>
    <col min="9476" max="9476" width="15" style="44" customWidth="1"/>
    <col min="9477" max="9477" width="0.7109375" style="44" customWidth="1"/>
    <col min="9478" max="9478" width="0.85546875" style="44" customWidth="1"/>
    <col min="9479" max="9479" width="1.28515625" style="44" customWidth="1"/>
    <col min="9480" max="9480" width="51.140625" style="44" bestFit="1" customWidth="1"/>
    <col min="9481" max="9481" width="16.5703125" style="44" bestFit="1" customWidth="1"/>
    <col min="9482" max="9482" width="1.28515625" style="44" customWidth="1"/>
    <col min="9483" max="9483" width="8" style="44" customWidth="1"/>
    <col min="9484" max="9484" width="18.140625" style="44" bestFit="1" customWidth="1"/>
    <col min="9485" max="9487" width="8" style="44" customWidth="1"/>
    <col min="9488" max="9489" width="14.5703125" style="44" bestFit="1" customWidth="1"/>
    <col min="9490" max="9728" width="8" style="44"/>
    <col min="9729" max="9730" width="1.5703125" style="44" customWidth="1"/>
    <col min="9731" max="9731" width="41.28515625" style="44" customWidth="1"/>
    <col min="9732" max="9732" width="15" style="44" customWidth="1"/>
    <col min="9733" max="9733" width="0.7109375" style="44" customWidth="1"/>
    <col min="9734" max="9734" width="0.85546875" style="44" customWidth="1"/>
    <col min="9735" max="9735" width="1.28515625" style="44" customWidth="1"/>
    <col min="9736" max="9736" width="51.140625" style="44" bestFit="1" customWidth="1"/>
    <col min="9737" max="9737" width="16.5703125" style="44" bestFit="1" customWidth="1"/>
    <col min="9738" max="9738" width="1.28515625" style="44" customWidth="1"/>
    <col min="9739" max="9739" width="8" style="44" customWidth="1"/>
    <col min="9740" max="9740" width="18.140625" style="44" bestFit="1" customWidth="1"/>
    <col min="9741" max="9743" width="8" style="44" customWidth="1"/>
    <col min="9744" max="9745" width="14.5703125" style="44" bestFit="1" customWidth="1"/>
    <col min="9746" max="9984" width="8" style="44"/>
    <col min="9985" max="9986" width="1.5703125" style="44" customWidth="1"/>
    <col min="9987" max="9987" width="41.28515625" style="44" customWidth="1"/>
    <col min="9988" max="9988" width="15" style="44" customWidth="1"/>
    <col min="9989" max="9989" width="0.7109375" style="44" customWidth="1"/>
    <col min="9990" max="9990" width="0.85546875" style="44" customWidth="1"/>
    <col min="9991" max="9991" width="1.28515625" style="44" customWidth="1"/>
    <col min="9992" max="9992" width="51.140625" style="44" bestFit="1" customWidth="1"/>
    <col min="9993" max="9993" width="16.5703125" style="44" bestFit="1" customWidth="1"/>
    <col min="9994" max="9994" width="1.28515625" style="44" customWidth="1"/>
    <col min="9995" max="9995" width="8" style="44" customWidth="1"/>
    <col min="9996" max="9996" width="18.140625" style="44" bestFit="1" customWidth="1"/>
    <col min="9997" max="9999" width="8" style="44" customWidth="1"/>
    <col min="10000" max="10001" width="14.5703125" style="44" bestFit="1" customWidth="1"/>
    <col min="10002" max="10240" width="8" style="44"/>
    <col min="10241" max="10242" width="1.5703125" style="44" customWidth="1"/>
    <col min="10243" max="10243" width="41.28515625" style="44" customWidth="1"/>
    <col min="10244" max="10244" width="15" style="44" customWidth="1"/>
    <col min="10245" max="10245" width="0.7109375" style="44" customWidth="1"/>
    <col min="10246" max="10246" width="0.85546875" style="44" customWidth="1"/>
    <col min="10247" max="10247" width="1.28515625" style="44" customWidth="1"/>
    <col min="10248" max="10248" width="51.140625" style="44" bestFit="1" customWidth="1"/>
    <col min="10249" max="10249" width="16.5703125" style="44" bestFit="1" customWidth="1"/>
    <col min="10250" max="10250" width="1.28515625" style="44" customWidth="1"/>
    <col min="10251" max="10251" width="8" style="44" customWidth="1"/>
    <col min="10252" max="10252" width="18.140625" style="44" bestFit="1" customWidth="1"/>
    <col min="10253" max="10255" width="8" style="44" customWidth="1"/>
    <col min="10256" max="10257" width="14.5703125" style="44" bestFit="1" customWidth="1"/>
    <col min="10258" max="10496" width="8" style="44"/>
    <col min="10497" max="10498" width="1.5703125" style="44" customWidth="1"/>
    <col min="10499" max="10499" width="41.28515625" style="44" customWidth="1"/>
    <col min="10500" max="10500" width="15" style="44" customWidth="1"/>
    <col min="10501" max="10501" width="0.7109375" style="44" customWidth="1"/>
    <col min="10502" max="10502" width="0.85546875" style="44" customWidth="1"/>
    <col min="10503" max="10503" width="1.28515625" style="44" customWidth="1"/>
    <col min="10504" max="10504" width="51.140625" style="44" bestFit="1" customWidth="1"/>
    <col min="10505" max="10505" width="16.5703125" style="44" bestFit="1" customWidth="1"/>
    <col min="10506" max="10506" width="1.28515625" style="44" customWidth="1"/>
    <col min="10507" max="10507" width="8" style="44" customWidth="1"/>
    <col min="10508" max="10508" width="18.140625" style="44" bestFit="1" customWidth="1"/>
    <col min="10509" max="10511" width="8" style="44" customWidth="1"/>
    <col min="10512" max="10513" width="14.5703125" style="44" bestFit="1" customWidth="1"/>
    <col min="10514" max="10752" width="8" style="44"/>
    <col min="10753" max="10754" width="1.5703125" style="44" customWidth="1"/>
    <col min="10755" max="10755" width="41.28515625" style="44" customWidth="1"/>
    <col min="10756" max="10756" width="15" style="44" customWidth="1"/>
    <col min="10757" max="10757" width="0.7109375" style="44" customWidth="1"/>
    <col min="10758" max="10758" width="0.85546875" style="44" customWidth="1"/>
    <col min="10759" max="10759" width="1.28515625" style="44" customWidth="1"/>
    <col min="10760" max="10760" width="51.140625" style="44" bestFit="1" customWidth="1"/>
    <col min="10761" max="10761" width="16.5703125" style="44" bestFit="1" customWidth="1"/>
    <col min="10762" max="10762" width="1.28515625" style="44" customWidth="1"/>
    <col min="10763" max="10763" width="8" style="44" customWidth="1"/>
    <col min="10764" max="10764" width="18.140625" style="44" bestFit="1" customWidth="1"/>
    <col min="10765" max="10767" width="8" style="44" customWidth="1"/>
    <col min="10768" max="10769" width="14.5703125" style="44" bestFit="1" customWidth="1"/>
    <col min="10770" max="11008" width="8" style="44"/>
    <col min="11009" max="11010" width="1.5703125" style="44" customWidth="1"/>
    <col min="11011" max="11011" width="41.28515625" style="44" customWidth="1"/>
    <col min="11012" max="11012" width="15" style="44" customWidth="1"/>
    <col min="11013" max="11013" width="0.7109375" style="44" customWidth="1"/>
    <col min="11014" max="11014" width="0.85546875" style="44" customWidth="1"/>
    <col min="11015" max="11015" width="1.28515625" style="44" customWidth="1"/>
    <col min="11016" max="11016" width="51.140625" style="44" bestFit="1" customWidth="1"/>
    <col min="11017" max="11017" width="16.5703125" style="44" bestFit="1" customWidth="1"/>
    <col min="11018" max="11018" width="1.28515625" style="44" customWidth="1"/>
    <col min="11019" max="11019" width="8" style="44" customWidth="1"/>
    <col min="11020" max="11020" width="18.140625" style="44" bestFit="1" customWidth="1"/>
    <col min="11021" max="11023" width="8" style="44" customWidth="1"/>
    <col min="11024" max="11025" width="14.5703125" style="44" bestFit="1" customWidth="1"/>
    <col min="11026" max="11264" width="8" style="44"/>
    <col min="11265" max="11266" width="1.5703125" style="44" customWidth="1"/>
    <col min="11267" max="11267" width="41.28515625" style="44" customWidth="1"/>
    <col min="11268" max="11268" width="15" style="44" customWidth="1"/>
    <col min="11269" max="11269" width="0.7109375" style="44" customWidth="1"/>
    <col min="11270" max="11270" width="0.85546875" style="44" customWidth="1"/>
    <col min="11271" max="11271" width="1.28515625" style="44" customWidth="1"/>
    <col min="11272" max="11272" width="51.140625" style="44" bestFit="1" customWidth="1"/>
    <col min="11273" max="11273" width="16.5703125" style="44" bestFit="1" customWidth="1"/>
    <col min="11274" max="11274" width="1.28515625" style="44" customWidth="1"/>
    <col min="11275" max="11275" width="8" style="44" customWidth="1"/>
    <col min="11276" max="11276" width="18.140625" style="44" bestFit="1" customWidth="1"/>
    <col min="11277" max="11279" width="8" style="44" customWidth="1"/>
    <col min="11280" max="11281" width="14.5703125" style="44" bestFit="1" customWidth="1"/>
    <col min="11282" max="11520" width="8" style="44"/>
    <col min="11521" max="11522" width="1.5703125" style="44" customWidth="1"/>
    <col min="11523" max="11523" width="41.28515625" style="44" customWidth="1"/>
    <col min="11524" max="11524" width="15" style="44" customWidth="1"/>
    <col min="11525" max="11525" width="0.7109375" style="44" customWidth="1"/>
    <col min="11526" max="11526" width="0.85546875" style="44" customWidth="1"/>
    <col min="11527" max="11527" width="1.28515625" style="44" customWidth="1"/>
    <col min="11528" max="11528" width="51.140625" style="44" bestFit="1" customWidth="1"/>
    <col min="11529" max="11529" width="16.5703125" style="44" bestFit="1" customWidth="1"/>
    <col min="11530" max="11530" width="1.28515625" style="44" customWidth="1"/>
    <col min="11531" max="11531" width="8" style="44" customWidth="1"/>
    <col min="11532" max="11532" width="18.140625" style="44" bestFit="1" customWidth="1"/>
    <col min="11533" max="11535" width="8" style="44" customWidth="1"/>
    <col min="11536" max="11537" width="14.5703125" style="44" bestFit="1" customWidth="1"/>
    <col min="11538" max="11776" width="8" style="44"/>
    <col min="11777" max="11778" width="1.5703125" style="44" customWidth="1"/>
    <col min="11779" max="11779" width="41.28515625" style="44" customWidth="1"/>
    <col min="11780" max="11780" width="15" style="44" customWidth="1"/>
    <col min="11781" max="11781" width="0.7109375" style="44" customWidth="1"/>
    <col min="11782" max="11782" width="0.85546875" style="44" customWidth="1"/>
    <col min="11783" max="11783" width="1.28515625" style="44" customWidth="1"/>
    <col min="11784" max="11784" width="51.140625" style="44" bestFit="1" customWidth="1"/>
    <col min="11785" max="11785" width="16.5703125" style="44" bestFit="1" customWidth="1"/>
    <col min="11786" max="11786" width="1.28515625" style="44" customWidth="1"/>
    <col min="11787" max="11787" width="8" style="44" customWidth="1"/>
    <col min="11788" max="11788" width="18.140625" style="44" bestFit="1" customWidth="1"/>
    <col min="11789" max="11791" width="8" style="44" customWidth="1"/>
    <col min="11792" max="11793" width="14.5703125" style="44" bestFit="1" customWidth="1"/>
    <col min="11794" max="12032" width="8" style="44"/>
    <col min="12033" max="12034" width="1.5703125" style="44" customWidth="1"/>
    <col min="12035" max="12035" width="41.28515625" style="44" customWidth="1"/>
    <col min="12036" max="12036" width="15" style="44" customWidth="1"/>
    <col min="12037" max="12037" width="0.7109375" style="44" customWidth="1"/>
    <col min="12038" max="12038" width="0.85546875" style="44" customWidth="1"/>
    <col min="12039" max="12039" width="1.28515625" style="44" customWidth="1"/>
    <col min="12040" max="12040" width="51.140625" style="44" bestFit="1" customWidth="1"/>
    <col min="12041" max="12041" width="16.5703125" style="44" bestFit="1" customWidth="1"/>
    <col min="12042" max="12042" width="1.28515625" style="44" customWidth="1"/>
    <col min="12043" max="12043" width="8" style="44" customWidth="1"/>
    <col min="12044" max="12044" width="18.140625" style="44" bestFit="1" customWidth="1"/>
    <col min="12045" max="12047" width="8" style="44" customWidth="1"/>
    <col min="12048" max="12049" width="14.5703125" style="44" bestFit="1" customWidth="1"/>
    <col min="12050" max="12288" width="8" style="44"/>
    <col min="12289" max="12290" width="1.5703125" style="44" customWidth="1"/>
    <col min="12291" max="12291" width="41.28515625" style="44" customWidth="1"/>
    <col min="12292" max="12292" width="15" style="44" customWidth="1"/>
    <col min="12293" max="12293" width="0.7109375" style="44" customWidth="1"/>
    <col min="12294" max="12294" width="0.85546875" style="44" customWidth="1"/>
    <col min="12295" max="12295" width="1.28515625" style="44" customWidth="1"/>
    <col min="12296" max="12296" width="51.140625" style="44" bestFit="1" customWidth="1"/>
    <col min="12297" max="12297" width="16.5703125" style="44" bestFit="1" customWidth="1"/>
    <col min="12298" max="12298" width="1.28515625" style="44" customWidth="1"/>
    <col min="12299" max="12299" width="8" style="44" customWidth="1"/>
    <col min="12300" max="12300" width="18.140625" style="44" bestFit="1" customWidth="1"/>
    <col min="12301" max="12303" width="8" style="44" customWidth="1"/>
    <col min="12304" max="12305" width="14.5703125" style="44" bestFit="1" customWidth="1"/>
    <col min="12306" max="12544" width="8" style="44"/>
    <col min="12545" max="12546" width="1.5703125" style="44" customWidth="1"/>
    <col min="12547" max="12547" width="41.28515625" style="44" customWidth="1"/>
    <col min="12548" max="12548" width="15" style="44" customWidth="1"/>
    <col min="12549" max="12549" width="0.7109375" style="44" customWidth="1"/>
    <col min="12550" max="12550" width="0.85546875" style="44" customWidth="1"/>
    <col min="12551" max="12551" width="1.28515625" style="44" customWidth="1"/>
    <col min="12552" max="12552" width="51.140625" style="44" bestFit="1" customWidth="1"/>
    <col min="12553" max="12553" width="16.5703125" style="44" bestFit="1" customWidth="1"/>
    <col min="12554" max="12554" width="1.28515625" style="44" customWidth="1"/>
    <col min="12555" max="12555" width="8" style="44" customWidth="1"/>
    <col min="12556" max="12556" width="18.140625" style="44" bestFit="1" customWidth="1"/>
    <col min="12557" max="12559" width="8" style="44" customWidth="1"/>
    <col min="12560" max="12561" width="14.5703125" style="44" bestFit="1" customWidth="1"/>
    <col min="12562" max="12800" width="8" style="44"/>
    <col min="12801" max="12802" width="1.5703125" style="44" customWidth="1"/>
    <col min="12803" max="12803" width="41.28515625" style="44" customWidth="1"/>
    <col min="12804" max="12804" width="15" style="44" customWidth="1"/>
    <col min="12805" max="12805" width="0.7109375" style="44" customWidth="1"/>
    <col min="12806" max="12806" width="0.85546875" style="44" customWidth="1"/>
    <col min="12807" max="12807" width="1.28515625" style="44" customWidth="1"/>
    <col min="12808" max="12808" width="51.140625" style="44" bestFit="1" customWidth="1"/>
    <col min="12809" max="12809" width="16.5703125" style="44" bestFit="1" customWidth="1"/>
    <col min="12810" max="12810" width="1.28515625" style="44" customWidth="1"/>
    <col min="12811" max="12811" width="8" style="44" customWidth="1"/>
    <col min="12812" max="12812" width="18.140625" style="44" bestFit="1" customWidth="1"/>
    <col min="12813" max="12815" width="8" style="44" customWidth="1"/>
    <col min="12816" max="12817" width="14.5703125" style="44" bestFit="1" customWidth="1"/>
    <col min="12818" max="13056" width="8" style="44"/>
    <col min="13057" max="13058" width="1.5703125" style="44" customWidth="1"/>
    <col min="13059" max="13059" width="41.28515625" style="44" customWidth="1"/>
    <col min="13060" max="13060" width="15" style="44" customWidth="1"/>
    <col min="13061" max="13061" width="0.7109375" style="44" customWidth="1"/>
    <col min="13062" max="13062" width="0.85546875" style="44" customWidth="1"/>
    <col min="13063" max="13063" width="1.28515625" style="44" customWidth="1"/>
    <col min="13064" max="13064" width="51.140625" style="44" bestFit="1" customWidth="1"/>
    <col min="13065" max="13065" width="16.5703125" style="44" bestFit="1" customWidth="1"/>
    <col min="13066" max="13066" width="1.28515625" style="44" customWidth="1"/>
    <col min="13067" max="13067" width="8" style="44" customWidth="1"/>
    <col min="13068" max="13068" width="18.140625" style="44" bestFit="1" customWidth="1"/>
    <col min="13069" max="13071" width="8" style="44" customWidth="1"/>
    <col min="13072" max="13073" width="14.5703125" style="44" bestFit="1" customWidth="1"/>
    <col min="13074" max="13312" width="8" style="44"/>
    <col min="13313" max="13314" width="1.5703125" style="44" customWidth="1"/>
    <col min="13315" max="13315" width="41.28515625" style="44" customWidth="1"/>
    <col min="13316" max="13316" width="15" style="44" customWidth="1"/>
    <col min="13317" max="13317" width="0.7109375" style="44" customWidth="1"/>
    <col min="13318" max="13318" width="0.85546875" style="44" customWidth="1"/>
    <col min="13319" max="13319" width="1.28515625" style="44" customWidth="1"/>
    <col min="13320" max="13320" width="51.140625" style="44" bestFit="1" customWidth="1"/>
    <col min="13321" max="13321" width="16.5703125" style="44" bestFit="1" customWidth="1"/>
    <col min="13322" max="13322" width="1.28515625" style="44" customWidth="1"/>
    <col min="13323" max="13323" width="8" style="44" customWidth="1"/>
    <col min="13324" max="13324" width="18.140625" style="44" bestFit="1" customWidth="1"/>
    <col min="13325" max="13327" width="8" style="44" customWidth="1"/>
    <col min="13328" max="13329" width="14.5703125" style="44" bestFit="1" customWidth="1"/>
    <col min="13330" max="13568" width="8" style="44"/>
    <col min="13569" max="13570" width="1.5703125" style="44" customWidth="1"/>
    <col min="13571" max="13571" width="41.28515625" style="44" customWidth="1"/>
    <col min="13572" max="13572" width="15" style="44" customWidth="1"/>
    <col min="13573" max="13573" width="0.7109375" style="44" customWidth="1"/>
    <col min="13574" max="13574" width="0.85546875" style="44" customWidth="1"/>
    <col min="13575" max="13575" width="1.28515625" style="44" customWidth="1"/>
    <col min="13576" max="13576" width="51.140625" style="44" bestFit="1" customWidth="1"/>
    <col min="13577" max="13577" width="16.5703125" style="44" bestFit="1" customWidth="1"/>
    <col min="13578" max="13578" width="1.28515625" style="44" customWidth="1"/>
    <col min="13579" max="13579" width="8" style="44" customWidth="1"/>
    <col min="13580" max="13580" width="18.140625" style="44" bestFit="1" customWidth="1"/>
    <col min="13581" max="13583" width="8" style="44" customWidth="1"/>
    <col min="13584" max="13585" width="14.5703125" style="44" bestFit="1" customWidth="1"/>
    <col min="13586" max="13824" width="8" style="44"/>
    <col min="13825" max="13826" width="1.5703125" style="44" customWidth="1"/>
    <col min="13827" max="13827" width="41.28515625" style="44" customWidth="1"/>
    <col min="13828" max="13828" width="15" style="44" customWidth="1"/>
    <col min="13829" max="13829" width="0.7109375" style="44" customWidth="1"/>
    <col min="13830" max="13830" width="0.85546875" style="44" customWidth="1"/>
    <col min="13831" max="13831" width="1.28515625" style="44" customWidth="1"/>
    <col min="13832" max="13832" width="51.140625" style="44" bestFit="1" customWidth="1"/>
    <col min="13833" max="13833" width="16.5703125" style="44" bestFit="1" customWidth="1"/>
    <col min="13834" max="13834" width="1.28515625" style="44" customWidth="1"/>
    <col min="13835" max="13835" width="8" style="44" customWidth="1"/>
    <col min="13836" max="13836" width="18.140625" style="44" bestFit="1" customWidth="1"/>
    <col min="13837" max="13839" width="8" style="44" customWidth="1"/>
    <col min="13840" max="13841" width="14.5703125" style="44" bestFit="1" customWidth="1"/>
    <col min="13842" max="14080" width="8" style="44"/>
    <col min="14081" max="14082" width="1.5703125" style="44" customWidth="1"/>
    <col min="14083" max="14083" width="41.28515625" style="44" customWidth="1"/>
    <col min="14084" max="14084" width="15" style="44" customWidth="1"/>
    <col min="14085" max="14085" width="0.7109375" style="44" customWidth="1"/>
    <col min="14086" max="14086" width="0.85546875" style="44" customWidth="1"/>
    <col min="14087" max="14087" width="1.28515625" style="44" customWidth="1"/>
    <col min="14088" max="14088" width="51.140625" style="44" bestFit="1" customWidth="1"/>
    <col min="14089" max="14089" width="16.5703125" style="44" bestFit="1" customWidth="1"/>
    <col min="14090" max="14090" width="1.28515625" style="44" customWidth="1"/>
    <col min="14091" max="14091" width="8" style="44" customWidth="1"/>
    <col min="14092" max="14092" width="18.140625" style="44" bestFit="1" customWidth="1"/>
    <col min="14093" max="14095" width="8" style="44" customWidth="1"/>
    <col min="14096" max="14097" width="14.5703125" style="44" bestFit="1" customWidth="1"/>
    <col min="14098" max="14336" width="8" style="44"/>
    <col min="14337" max="14338" width="1.5703125" style="44" customWidth="1"/>
    <col min="14339" max="14339" width="41.28515625" style="44" customWidth="1"/>
    <col min="14340" max="14340" width="15" style="44" customWidth="1"/>
    <col min="14341" max="14341" width="0.7109375" style="44" customWidth="1"/>
    <col min="14342" max="14342" width="0.85546875" style="44" customWidth="1"/>
    <col min="14343" max="14343" width="1.28515625" style="44" customWidth="1"/>
    <col min="14344" max="14344" width="51.140625" style="44" bestFit="1" customWidth="1"/>
    <col min="14345" max="14345" width="16.5703125" style="44" bestFit="1" customWidth="1"/>
    <col min="14346" max="14346" width="1.28515625" style="44" customWidth="1"/>
    <col min="14347" max="14347" width="8" style="44" customWidth="1"/>
    <col min="14348" max="14348" width="18.140625" style="44" bestFit="1" customWidth="1"/>
    <col min="14349" max="14351" width="8" style="44" customWidth="1"/>
    <col min="14352" max="14353" width="14.5703125" style="44" bestFit="1" customWidth="1"/>
    <col min="14354" max="14592" width="8" style="44"/>
    <col min="14593" max="14594" width="1.5703125" style="44" customWidth="1"/>
    <col min="14595" max="14595" width="41.28515625" style="44" customWidth="1"/>
    <col min="14596" max="14596" width="15" style="44" customWidth="1"/>
    <col min="14597" max="14597" width="0.7109375" style="44" customWidth="1"/>
    <col min="14598" max="14598" width="0.85546875" style="44" customWidth="1"/>
    <col min="14599" max="14599" width="1.28515625" style="44" customWidth="1"/>
    <col min="14600" max="14600" width="51.140625" style="44" bestFit="1" customWidth="1"/>
    <col min="14601" max="14601" width="16.5703125" style="44" bestFit="1" customWidth="1"/>
    <col min="14602" max="14602" width="1.28515625" style="44" customWidth="1"/>
    <col min="14603" max="14603" width="8" style="44" customWidth="1"/>
    <col min="14604" max="14604" width="18.140625" style="44" bestFit="1" customWidth="1"/>
    <col min="14605" max="14607" width="8" style="44" customWidth="1"/>
    <col min="14608" max="14609" width="14.5703125" style="44" bestFit="1" customWidth="1"/>
    <col min="14610" max="14848" width="8" style="44"/>
    <col min="14849" max="14850" width="1.5703125" style="44" customWidth="1"/>
    <col min="14851" max="14851" width="41.28515625" style="44" customWidth="1"/>
    <col min="14852" max="14852" width="15" style="44" customWidth="1"/>
    <col min="14853" max="14853" width="0.7109375" style="44" customWidth="1"/>
    <col min="14854" max="14854" width="0.85546875" style="44" customWidth="1"/>
    <col min="14855" max="14855" width="1.28515625" style="44" customWidth="1"/>
    <col min="14856" max="14856" width="51.140625" style="44" bestFit="1" customWidth="1"/>
    <col min="14857" max="14857" width="16.5703125" style="44" bestFit="1" customWidth="1"/>
    <col min="14858" max="14858" width="1.28515625" style="44" customWidth="1"/>
    <col min="14859" max="14859" width="8" style="44" customWidth="1"/>
    <col min="14860" max="14860" width="18.140625" style="44" bestFit="1" customWidth="1"/>
    <col min="14861" max="14863" width="8" style="44" customWidth="1"/>
    <col min="14864" max="14865" width="14.5703125" style="44" bestFit="1" customWidth="1"/>
    <col min="14866" max="15104" width="8" style="44"/>
    <col min="15105" max="15106" width="1.5703125" style="44" customWidth="1"/>
    <col min="15107" max="15107" width="41.28515625" style="44" customWidth="1"/>
    <col min="15108" max="15108" width="15" style="44" customWidth="1"/>
    <col min="15109" max="15109" width="0.7109375" style="44" customWidth="1"/>
    <col min="15110" max="15110" width="0.85546875" style="44" customWidth="1"/>
    <col min="15111" max="15111" width="1.28515625" style="44" customWidth="1"/>
    <col min="15112" max="15112" width="51.140625" style="44" bestFit="1" customWidth="1"/>
    <col min="15113" max="15113" width="16.5703125" style="44" bestFit="1" customWidth="1"/>
    <col min="15114" max="15114" width="1.28515625" style="44" customWidth="1"/>
    <col min="15115" max="15115" width="8" style="44" customWidth="1"/>
    <col min="15116" max="15116" width="18.140625" style="44" bestFit="1" customWidth="1"/>
    <col min="15117" max="15119" width="8" style="44" customWidth="1"/>
    <col min="15120" max="15121" width="14.5703125" style="44" bestFit="1" customWidth="1"/>
    <col min="15122" max="15360" width="8" style="44"/>
    <col min="15361" max="15362" width="1.5703125" style="44" customWidth="1"/>
    <col min="15363" max="15363" width="41.28515625" style="44" customWidth="1"/>
    <col min="15364" max="15364" width="15" style="44" customWidth="1"/>
    <col min="15365" max="15365" width="0.7109375" style="44" customWidth="1"/>
    <col min="15366" max="15366" width="0.85546875" style="44" customWidth="1"/>
    <col min="15367" max="15367" width="1.28515625" style="44" customWidth="1"/>
    <col min="15368" max="15368" width="51.140625" style="44" bestFit="1" customWidth="1"/>
    <col min="15369" max="15369" width="16.5703125" style="44" bestFit="1" customWidth="1"/>
    <col min="15370" max="15370" width="1.28515625" style="44" customWidth="1"/>
    <col min="15371" max="15371" width="8" style="44" customWidth="1"/>
    <col min="15372" max="15372" width="18.140625" style="44" bestFit="1" customWidth="1"/>
    <col min="15373" max="15375" width="8" style="44" customWidth="1"/>
    <col min="15376" max="15377" width="14.5703125" style="44" bestFit="1" customWidth="1"/>
    <col min="15378" max="15616" width="8" style="44"/>
    <col min="15617" max="15618" width="1.5703125" style="44" customWidth="1"/>
    <col min="15619" max="15619" width="41.28515625" style="44" customWidth="1"/>
    <col min="15620" max="15620" width="15" style="44" customWidth="1"/>
    <col min="15621" max="15621" width="0.7109375" style="44" customWidth="1"/>
    <col min="15622" max="15622" width="0.85546875" style="44" customWidth="1"/>
    <col min="15623" max="15623" width="1.28515625" style="44" customWidth="1"/>
    <col min="15624" max="15624" width="51.140625" style="44" bestFit="1" customWidth="1"/>
    <col min="15625" max="15625" width="16.5703125" style="44" bestFit="1" customWidth="1"/>
    <col min="15626" max="15626" width="1.28515625" style="44" customWidth="1"/>
    <col min="15627" max="15627" width="8" style="44" customWidth="1"/>
    <col min="15628" max="15628" width="18.140625" style="44" bestFit="1" customWidth="1"/>
    <col min="15629" max="15631" width="8" style="44" customWidth="1"/>
    <col min="15632" max="15633" width="14.5703125" style="44" bestFit="1" customWidth="1"/>
    <col min="15634" max="15872" width="8" style="44"/>
    <col min="15873" max="15874" width="1.5703125" style="44" customWidth="1"/>
    <col min="15875" max="15875" width="41.28515625" style="44" customWidth="1"/>
    <col min="15876" max="15876" width="15" style="44" customWidth="1"/>
    <col min="15877" max="15877" width="0.7109375" style="44" customWidth="1"/>
    <col min="15878" max="15878" width="0.85546875" style="44" customWidth="1"/>
    <col min="15879" max="15879" width="1.28515625" style="44" customWidth="1"/>
    <col min="15880" max="15880" width="51.140625" style="44" bestFit="1" customWidth="1"/>
    <col min="15881" max="15881" width="16.5703125" style="44" bestFit="1" customWidth="1"/>
    <col min="15882" max="15882" width="1.28515625" style="44" customWidth="1"/>
    <col min="15883" max="15883" width="8" style="44" customWidth="1"/>
    <col min="15884" max="15884" width="18.140625" style="44" bestFit="1" customWidth="1"/>
    <col min="15885" max="15887" width="8" style="44" customWidth="1"/>
    <col min="15888" max="15889" width="14.5703125" style="44" bestFit="1" customWidth="1"/>
    <col min="15890" max="16128" width="8" style="44"/>
    <col min="16129" max="16130" width="1.5703125" style="44" customWidth="1"/>
    <col min="16131" max="16131" width="41.28515625" style="44" customWidth="1"/>
    <col min="16132" max="16132" width="15" style="44" customWidth="1"/>
    <col min="16133" max="16133" width="0.7109375" style="44" customWidth="1"/>
    <col min="16134" max="16134" width="0.85546875" style="44" customWidth="1"/>
    <col min="16135" max="16135" width="1.28515625" style="44" customWidth="1"/>
    <col min="16136" max="16136" width="51.140625" style="44" bestFit="1" customWidth="1"/>
    <col min="16137" max="16137" width="16.5703125" style="44" bestFit="1" customWidth="1"/>
    <col min="16138" max="16138" width="1.28515625" style="44" customWidth="1"/>
    <col min="16139" max="16139" width="8" style="44" customWidth="1"/>
    <col min="16140" max="16140" width="18.140625" style="44" bestFit="1" customWidth="1"/>
    <col min="16141" max="16143" width="8" style="44" customWidth="1"/>
    <col min="16144" max="16145" width="14.5703125" style="44" bestFit="1" customWidth="1"/>
    <col min="16146" max="16384" width="8" style="44"/>
  </cols>
  <sheetData>
    <row r="1" spans="1:11" s="28" customFormat="1" ht="13.5" thickBot="1">
      <c r="A1" s="25"/>
      <c r="B1" s="598" t="s">
        <v>570</v>
      </c>
      <c r="C1" s="599"/>
      <c r="D1" s="599"/>
      <c r="E1" s="599"/>
      <c r="F1" s="599"/>
      <c r="G1" s="599"/>
      <c r="H1" s="599"/>
      <c r="I1" s="599"/>
      <c r="J1" s="26"/>
      <c r="K1" s="27"/>
    </row>
    <row r="2" spans="1:11" s="28" customFormat="1" ht="13.5" thickTop="1">
      <c r="A2" s="29"/>
      <c r="B2" s="600" t="s">
        <v>375</v>
      </c>
      <c r="C2" s="600"/>
      <c r="D2" s="600"/>
      <c r="E2" s="600"/>
      <c r="F2" s="600"/>
      <c r="G2" s="600"/>
      <c r="H2" s="600"/>
      <c r="I2" s="600"/>
      <c r="J2" s="30"/>
      <c r="K2" s="27"/>
    </row>
    <row r="3" spans="1:11" s="28" customFormat="1">
      <c r="A3" s="31"/>
      <c r="B3" s="601" t="s">
        <v>571</v>
      </c>
      <c r="C3" s="601"/>
      <c r="D3" s="601"/>
      <c r="E3" s="601"/>
      <c r="F3" s="601"/>
      <c r="G3" s="601"/>
      <c r="H3" s="601"/>
      <c r="I3" s="601"/>
      <c r="J3" s="32"/>
      <c r="K3" s="27"/>
    </row>
    <row r="4" spans="1:11" s="28" customFormat="1">
      <c r="A4" s="31"/>
      <c r="B4" s="602" t="s">
        <v>376</v>
      </c>
      <c r="C4" s="602"/>
      <c r="D4" s="602"/>
      <c r="E4" s="602"/>
      <c r="F4" s="602"/>
      <c r="G4" s="602"/>
      <c r="H4" s="602"/>
      <c r="I4" s="602"/>
      <c r="J4" s="32"/>
      <c r="K4" s="27"/>
    </row>
    <row r="5" spans="1:11" s="36" customFormat="1">
      <c r="A5" s="33"/>
      <c r="B5" s="596" t="s">
        <v>547</v>
      </c>
      <c r="C5" s="596"/>
      <c r="D5" s="596"/>
      <c r="E5" s="596"/>
      <c r="F5" s="596"/>
      <c r="G5" s="596"/>
      <c r="H5" s="596"/>
      <c r="I5" s="596"/>
      <c r="J5" s="34"/>
      <c r="K5" s="35"/>
    </row>
    <row r="6" spans="1:11" s="36" customFormat="1">
      <c r="A6" s="595" t="s">
        <v>549</v>
      </c>
      <c r="B6" s="596"/>
      <c r="C6" s="596"/>
      <c r="D6" s="596"/>
      <c r="E6" s="596"/>
      <c r="F6" s="35"/>
      <c r="G6" s="596" t="s">
        <v>548</v>
      </c>
      <c r="H6" s="596"/>
      <c r="I6" s="596"/>
      <c r="J6" s="597"/>
      <c r="K6" s="35"/>
    </row>
    <row r="7" spans="1:11">
      <c r="A7" s="37"/>
      <c r="B7" s="38"/>
      <c r="C7" s="38"/>
      <c r="D7" s="297" t="s">
        <v>377</v>
      </c>
      <c r="E7" s="39"/>
      <c r="F7" s="40"/>
      <c r="G7" s="41"/>
      <c r="H7" s="304"/>
      <c r="I7" s="284" t="s">
        <v>377</v>
      </c>
      <c r="J7" s="68"/>
      <c r="K7" s="43"/>
    </row>
    <row r="8" spans="1:11">
      <c r="A8" s="45"/>
      <c r="B8" s="46"/>
      <c r="C8" s="43"/>
      <c r="D8" s="298" t="s">
        <v>530</v>
      </c>
      <c r="E8" s="47"/>
      <c r="F8" s="40"/>
      <c r="G8" s="48"/>
      <c r="H8" s="305"/>
      <c r="I8" s="285" t="s">
        <v>530</v>
      </c>
      <c r="J8" s="42"/>
      <c r="K8" s="43"/>
    </row>
    <row r="9" spans="1:11">
      <c r="A9" s="45" t="s">
        <v>8</v>
      </c>
      <c r="B9" s="46" t="s">
        <v>362</v>
      </c>
      <c r="C9" s="46" t="s">
        <v>9</v>
      </c>
      <c r="D9" s="299"/>
      <c r="E9" s="49"/>
      <c r="F9" s="43"/>
      <c r="G9" s="45"/>
      <c r="H9" s="311" t="s">
        <v>550</v>
      </c>
      <c r="I9" s="286"/>
      <c r="J9" s="50"/>
      <c r="K9" s="43"/>
    </row>
    <row r="10" spans="1:11">
      <c r="A10" s="45"/>
      <c r="B10" s="46"/>
      <c r="C10" s="43"/>
      <c r="D10" s="299"/>
      <c r="E10" s="49"/>
      <c r="F10" s="43"/>
      <c r="G10" s="45"/>
      <c r="H10" s="60"/>
      <c r="I10" s="286"/>
      <c r="J10" s="50"/>
      <c r="K10" s="43"/>
    </row>
    <row r="11" spans="1:11" s="54" customFormat="1">
      <c r="A11" s="147"/>
      <c r="B11" s="52" t="s">
        <v>379</v>
      </c>
      <c r="C11" s="212" t="s">
        <v>379</v>
      </c>
      <c r="D11" s="296">
        <f>'STATEMENT 1'!G15</f>
        <v>59246035025</v>
      </c>
      <c r="E11" s="53"/>
      <c r="F11" s="52"/>
      <c r="G11" s="51"/>
      <c r="H11" s="306" t="s">
        <v>380</v>
      </c>
      <c r="I11" s="287">
        <v>410040000</v>
      </c>
      <c r="J11" s="53"/>
      <c r="K11" s="52"/>
    </row>
    <row r="12" spans="1:11">
      <c r="A12" s="45"/>
      <c r="B12" s="43" t="s">
        <v>342</v>
      </c>
      <c r="C12" s="212" t="s">
        <v>383</v>
      </c>
      <c r="D12" s="296">
        <f>'STATEMENT 1'!G16</f>
        <v>189590797066.66998</v>
      </c>
      <c r="E12" s="50"/>
      <c r="F12" s="43"/>
      <c r="G12" s="45"/>
      <c r="H12" s="307" t="s">
        <v>381</v>
      </c>
      <c r="I12" s="287">
        <v>1341391000</v>
      </c>
      <c r="J12" s="50"/>
      <c r="K12" s="43"/>
    </row>
    <row r="13" spans="1:11">
      <c r="A13" s="45"/>
      <c r="B13" s="43" t="s">
        <v>343</v>
      </c>
      <c r="C13" s="212" t="s">
        <v>244</v>
      </c>
      <c r="D13" s="296">
        <f>'STATEMENT 1'!G17</f>
        <v>10081715475</v>
      </c>
      <c r="E13" s="50"/>
      <c r="F13" s="43"/>
      <c r="G13" s="45"/>
      <c r="H13" s="307" t="s">
        <v>382</v>
      </c>
      <c r="I13" s="287">
        <v>190178000</v>
      </c>
      <c r="J13" s="50"/>
      <c r="K13" s="43"/>
    </row>
    <row r="14" spans="1:11">
      <c r="A14" s="45"/>
      <c r="B14" s="43" t="s">
        <v>383</v>
      </c>
      <c r="C14" s="212" t="s">
        <v>427</v>
      </c>
      <c r="D14" s="296">
        <f>'STATEMENT 1'!G18</f>
        <v>5132047500</v>
      </c>
      <c r="E14" s="50"/>
      <c r="F14" s="43"/>
      <c r="G14" s="45"/>
      <c r="H14" s="307" t="s">
        <v>384</v>
      </c>
      <c r="I14" s="287">
        <v>1092007000</v>
      </c>
      <c r="J14" s="50"/>
      <c r="K14" s="43"/>
    </row>
    <row r="15" spans="1:11">
      <c r="A15" s="45"/>
      <c r="B15" s="43" t="s">
        <v>18</v>
      </c>
      <c r="C15" s="212" t="s">
        <v>246</v>
      </c>
      <c r="D15" s="296">
        <f>'STATEMENT 1'!G19</f>
        <v>273292022.79584938</v>
      </c>
      <c r="E15" s="50"/>
      <c r="F15" s="43"/>
      <c r="G15" s="45"/>
      <c r="H15" s="307" t="s">
        <v>385</v>
      </c>
      <c r="I15" s="287">
        <v>406749000</v>
      </c>
      <c r="J15" s="50"/>
      <c r="K15" s="43"/>
    </row>
    <row r="16" spans="1:11">
      <c r="A16" s="45"/>
      <c r="B16" s="43" t="s">
        <v>244</v>
      </c>
      <c r="C16" s="212" t="s">
        <v>247</v>
      </c>
      <c r="D16" s="296">
        <f>'STATEMENT 1'!G20</f>
        <v>15799100000</v>
      </c>
      <c r="E16" s="50"/>
      <c r="F16" s="43"/>
      <c r="G16" s="45"/>
      <c r="H16" s="308" t="s">
        <v>387</v>
      </c>
      <c r="I16" s="287">
        <v>273004000</v>
      </c>
      <c r="J16" s="50"/>
      <c r="K16" s="43"/>
    </row>
    <row r="17" spans="1:11">
      <c r="A17" s="45"/>
      <c r="B17" s="43" t="s">
        <v>386</v>
      </c>
      <c r="C17" s="212" t="s">
        <v>248</v>
      </c>
      <c r="D17" s="296">
        <f>'STATEMENT 1'!G21</f>
        <v>9297036273.2041512</v>
      </c>
      <c r="E17" s="50"/>
      <c r="F17" s="43"/>
      <c r="G17" s="45"/>
      <c r="H17" s="308" t="s">
        <v>388</v>
      </c>
      <c r="I17" s="287">
        <v>780299000</v>
      </c>
      <c r="J17" s="50"/>
      <c r="K17" s="43"/>
    </row>
    <row r="18" spans="1:11">
      <c r="A18" s="45"/>
      <c r="B18" s="43" t="s">
        <v>246</v>
      </c>
      <c r="C18" s="212" t="s">
        <v>249</v>
      </c>
      <c r="D18" s="296">
        <f>'STATEMENT 1'!G22</f>
        <v>36700287000</v>
      </c>
      <c r="E18" s="50"/>
      <c r="F18" s="43"/>
      <c r="G18" s="45"/>
      <c r="H18" s="307" t="s">
        <v>556</v>
      </c>
      <c r="I18" s="287">
        <v>1150532000</v>
      </c>
      <c r="J18" s="50"/>
      <c r="K18" s="43"/>
    </row>
    <row r="19" spans="1:11">
      <c r="A19" s="45"/>
      <c r="B19" s="43" t="s">
        <v>247</v>
      </c>
      <c r="C19" s="212" t="s">
        <v>253</v>
      </c>
      <c r="D19" s="296">
        <f>'STATEMENT 1'!G23</f>
        <v>2540120700</v>
      </c>
      <c r="E19" s="50"/>
      <c r="F19" s="43"/>
      <c r="G19" s="45"/>
      <c r="H19" s="307" t="s">
        <v>389</v>
      </c>
      <c r="I19" s="287">
        <v>9718903000</v>
      </c>
      <c r="J19" s="50"/>
      <c r="K19" s="43"/>
    </row>
    <row r="20" spans="1:11">
      <c r="A20" s="45"/>
      <c r="B20" s="43" t="s">
        <v>390</v>
      </c>
      <c r="C20" s="212" t="s">
        <v>342</v>
      </c>
      <c r="D20" s="296">
        <f>'STATEMENT 1'!G24</f>
        <v>237587065800</v>
      </c>
      <c r="E20" s="50"/>
      <c r="F20" s="43"/>
      <c r="G20" s="45"/>
      <c r="H20" s="309" t="s">
        <v>391</v>
      </c>
      <c r="I20" s="287">
        <v>1058834000</v>
      </c>
      <c r="J20" s="50"/>
      <c r="K20" s="43"/>
    </row>
    <row r="21" spans="1:11">
      <c r="A21" s="45"/>
      <c r="B21" s="43" t="s">
        <v>249</v>
      </c>
      <c r="C21" s="212" t="s">
        <v>343</v>
      </c>
      <c r="D21" s="296">
        <f>'STATEMENT 1'!G25</f>
        <v>92072800000</v>
      </c>
      <c r="E21" s="50"/>
      <c r="F21" s="43"/>
      <c r="G21" s="45"/>
      <c r="H21" s="308" t="s">
        <v>557</v>
      </c>
      <c r="I21" s="287">
        <v>11562652000</v>
      </c>
      <c r="J21" s="50"/>
      <c r="K21" s="43"/>
    </row>
    <row r="22" spans="1:11">
      <c r="A22" s="45"/>
      <c r="B22" s="43" t="s">
        <v>253</v>
      </c>
      <c r="C22" s="212" t="s">
        <v>344</v>
      </c>
      <c r="D22" s="296">
        <f>'STATEMENT 1'!G26</f>
        <v>5490770000</v>
      </c>
      <c r="E22" s="50"/>
      <c r="F22" s="43"/>
      <c r="G22" s="45"/>
      <c r="H22" s="309" t="s">
        <v>598</v>
      </c>
      <c r="I22" s="287">
        <v>17742151000</v>
      </c>
      <c r="J22" s="50"/>
      <c r="K22" s="43"/>
    </row>
    <row r="23" spans="1:11">
      <c r="A23" s="45"/>
      <c r="B23" s="43" t="s">
        <v>344</v>
      </c>
      <c r="C23" s="212" t="s">
        <v>250</v>
      </c>
      <c r="D23" s="296">
        <f>'STATEMENT 1'!G27</f>
        <v>3219695000</v>
      </c>
      <c r="E23" s="50"/>
      <c r="F23" s="43"/>
      <c r="G23" s="45"/>
      <c r="H23" s="310" t="s">
        <v>558</v>
      </c>
      <c r="I23" s="287">
        <v>425687096000</v>
      </c>
      <c r="J23" s="50"/>
      <c r="K23" s="43"/>
    </row>
    <row r="24" spans="1:11">
      <c r="A24" s="45"/>
      <c r="B24" s="43" t="s">
        <v>250</v>
      </c>
      <c r="C24" s="212" t="s">
        <v>350</v>
      </c>
      <c r="D24" s="296">
        <f>'STATEMENT 1'!G28</f>
        <v>2577234700</v>
      </c>
      <c r="E24" s="57"/>
      <c r="F24" s="56"/>
      <c r="G24" s="58"/>
      <c r="H24" s="309" t="s">
        <v>392</v>
      </c>
      <c r="I24" s="287">
        <v>96823282000</v>
      </c>
      <c r="J24" s="50"/>
      <c r="K24" s="43"/>
    </row>
    <row r="25" spans="1:11">
      <c r="A25" s="45"/>
      <c r="B25" s="46" t="s">
        <v>394</v>
      </c>
      <c r="C25" s="212" t="s">
        <v>18</v>
      </c>
      <c r="D25" s="296">
        <f>'STATEMENT 1'!G29</f>
        <v>0</v>
      </c>
      <c r="E25" s="59"/>
      <c r="F25" s="46"/>
      <c r="G25" s="60"/>
      <c r="H25" s="309" t="s">
        <v>599</v>
      </c>
      <c r="I25" s="287">
        <v>572205000</v>
      </c>
      <c r="J25" s="50"/>
      <c r="K25" s="43"/>
    </row>
    <row r="26" spans="1:11">
      <c r="A26" s="45"/>
      <c r="B26" s="46"/>
      <c r="C26" s="212" t="s">
        <v>121</v>
      </c>
      <c r="D26" s="296">
        <f>'STATEMENT 1'!G30</f>
        <v>75600000</v>
      </c>
      <c r="E26" s="59"/>
      <c r="F26" s="46"/>
      <c r="G26" s="60"/>
      <c r="H26" s="310" t="s">
        <v>393</v>
      </c>
      <c r="I26" s="287">
        <v>10829014000</v>
      </c>
      <c r="J26" s="50"/>
      <c r="K26" s="43"/>
    </row>
    <row r="27" spans="1:11">
      <c r="A27" s="45"/>
      <c r="B27" s="46"/>
      <c r="C27" s="212" t="s">
        <v>251</v>
      </c>
      <c r="D27" s="296">
        <f>'STATEMENT 1'!G31</f>
        <v>323848704</v>
      </c>
      <c r="E27" s="59"/>
      <c r="F27" s="46"/>
      <c r="G27" s="60"/>
      <c r="H27" s="310" t="s">
        <v>395</v>
      </c>
      <c r="I27" s="287">
        <v>5173346000</v>
      </c>
      <c r="J27" s="50"/>
      <c r="K27" s="43"/>
    </row>
    <row r="28" spans="1:11">
      <c r="A28" s="45"/>
      <c r="B28" s="46"/>
      <c r="C28" s="212" t="s">
        <v>252</v>
      </c>
      <c r="D28" s="296">
        <f>'STATEMENT 1'!G32</f>
        <v>1528653600</v>
      </c>
      <c r="E28" s="59"/>
      <c r="F28" s="46"/>
      <c r="G28" s="60"/>
      <c r="H28" s="309" t="s">
        <v>396</v>
      </c>
      <c r="I28" s="287">
        <v>14219814000</v>
      </c>
      <c r="J28" s="50"/>
      <c r="K28" s="43"/>
    </row>
    <row r="29" spans="1:11">
      <c r="A29" s="45"/>
      <c r="B29" s="46"/>
      <c r="C29" s="212"/>
      <c r="D29" s="296"/>
      <c r="E29" s="59"/>
      <c r="F29" s="46"/>
      <c r="G29" s="60"/>
      <c r="H29" s="310" t="s">
        <v>600</v>
      </c>
      <c r="I29" s="287">
        <v>122968310000</v>
      </c>
      <c r="J29" s="50"/>
      <c r="K29" s="43"/>
    </row>
    <row r="30" spans="1:11">
      <c r="A30" s="45"/>
      <c r="B30" s="46"/>
      <c r="C30" s="23" t="s">
        <v>19</v>
      </c>
      <c r="D30" s="300">
        <f>SUM(D11:D29)</f>
        <v>671536098866.66992</v>
      </c>
      <c r="E30" s="59"/>
      <c r="F30" s="46"/>
      <c r="G30" s="60"/>
      <c r="H30" s="307" t="s">
        <v>555</v>
      </c>
      <c r="I30" s="287">
        <v>93574160000</v>
      </c>
      <c r="J30" s="50"/>
      <c r="K30" s="43"/>
    </row>
    <row r="31" spans="1:11">
      <c r="A31" s="45"/>
      <c r="B31" s="46"/>
      <c r="C31" s="43"/>
      <c r="D31" s="300"/>
      <c r="E31" s="59"/>
      <c r="F31" s="46"/>
      <c r="G31" s="60"/>
      <c r="H31" s="307" t="s">
        <v>559</v>
      </c>
      <c r="I31" s="287">
        <v>4680006000</v>
      </c>
      <c r="J31" s="50"/>
      <c r="K31" s="43"/>
    </row>
    <row r="32" spans="1:11">
      <c r="A32" s="45"/>
      <c r="B32" s="46"/>
      <c r="C32" s="43"/>
      <c r="D32" s="301"/>
      <c r="E32" s="59"/>
      <c r="F32" s="46"/>
      <c r="G32" s="60"/>
      <c r="H32" s="307" t="s">
        <v>397</v>
      </c>
      <c r="I32" s="287">
        <v>11691227000</v>
      </c>
      <c r="J32" s="50"/>
      <c r="K32" s="43"/>
    </row>
    <row r="33" spans="1:11" ht="15">
      <c r="A33" s="60"/>
      <c r="B33" s="46"/>
      <c r="C33" s="125" t="s">
        <v>371</v>
      </c>
      <c r="D33" s="301">
        <f>'STATEMENT 1'!G36</f>
        <v>65398700000.110001</v>
      </c>
      <c r="E33" s="59"/>
      <c r="F33" s="46"/>
      <c r="G33" s="60"/>
      <c r="H33" s="307" t="s">
        <v>398</v>
      </c>
      <c r="I33" s="287">
        <v>5428028000</v>
      </c>
      <c r="J33" s="50"/>
      <c r="K33" s="43"/>
    </row>
    <row r="34" spans="1:11">
      <c r="A34" s="45"/>
      <c r="B34" s="46"/>
      <c r="C34" s="43"/>
      <c r="D34" s="301"/>
      <c r="E34" s="59"/>
      <c r="F34" s="46"/>
      <c r="G34" s="60"/>
      <c r="H34" s="309" t="s">
        <v>560</v>
      </c>
      <c r="I34" s="287">
        <v>9809008000</v>
      </c>
      <c r="J34" s="50"/>
      <c r="K34" s="43"/>
    </row>
    <row r="35" spans="1:11">
      <c r="A35" s="45"/>
      <c r="B35" s="46"/>
      <c r="C35" s="46" t="s">
        <v>471</v>
      </c>
      <c r="D35" s="300">
        <f>D33</f>
        <v>65398700000.110001</v>
      </c>
      <c r="E35" s="59"/>
      <c r="F35" s="46"/>
      <c r="G35" s="60"/>
      <c r="H35" s="307" t="s">
        <v>601</v>
      </c>
      <c r="I35" s="287">
        <v>13678382000</v>
      </c>
      <c r="J35" s="50"/>
      <c r="K35" s="43"/>
    </row>
    <row r="36" spans="1:11">
      <c r="A36" s="45"/>
      <c r="B36" s="46"/>
      <c r="C36" s="46"/>
      <c r="D36" s="300"/>
      <c r="E36" s="59"/>
      <c r="F36" s="46"/>
      <c r="G36" s="60"/>
      <c r="H36" s="307" t="s">
        <v>554</v>
      </c>
      <c r="I36" s="287">
        <v>19183374000</v>
      </c>
      <c r="J36" s="50"/>
      <c r="K36" s="43"/>
    </row>
    <row r="37" spans="1:11">
      <c r="A37" s="45"/>
      <c r="B37" s="46"/>
      <c r="C37" s="43"/>
      <c r="D37" s="301"/>
      <c r="E37" s="59"/>
      <c r="F37" s="46"/>
      <c r="G37" s="60"/>
      <c r="H37" s="69"/>
      <c r="I37" s="287"/>
      <c r="J37" s="50"/>
      <c r="K37" s="43"/>
    </row>
    <row r="38" spans="1:11">
      <c r="A38" s="60"/>
      <c r="B38" s="46"/>
      <c r="C38" s="46" t="s">
        <v>153</v>
      </c>
      <c r="D38" s="300">
        <f>'STATEMENT 1'!G53</f>
        <v>4908300000</v>
      </c>
      <c r="E38" s="59"/>
      <c r="F38" s="46"/>
      <c r="G38" s="60"/>
      <c r="H38" s="311" t="s">
        <v>602</v>
      </c>
      <c r="I38" s="292">
        <f>SUM(I11:I36)</f>
        <v>880043992000</v>
      </c>
      <c r="J38" s="50"/>
      <c r="K38" s="43"/>
    </row>
    <row r="39" spans="1:11">
      <c r="A39" s="60"/>
      <c r="B39" s="46"/>
      <c r="C39" s="43"/>
      <c r="D39" s="301"/>
      <c r="E39" s="59"/>
      <c r="F39" s="46"/>
      <c r="G39" s="60"/>
      <c r="H39" s="307"/>
      <c r="I39" s="290"/>
      <c r="J39" s="50"/>
      <c r="K39" s="43"/>
    </row>
    <row r="40" spans="1:11">
      <c r="A40" s="60"/>
      <c r="B40" s="46"/>
      <c r="C40" s="43"/>
      <c r="D40" s="300"/>
      <c r="E40" s="59"/>
      <c r="F40" s="46"/>
      <c r="G40" s="60"/>
      <c r="H40" s="307" t="s">
        <v>400</v>
      </c>
      <c r="I40" s="290">
        <v>33107879000</v>
      </c>
      <c r="J40" s="50"/>
      <c r="K40" s="43"/>
    </row>
    <row r="41" spans="1:11">
      <c r="A41" s="60"/>
      <c r="B41" s="46"/>
      <c r="C41" s="43"/>
      <c r="D41" s="300"/>
      <c r="E41" s="59"/>
      <c r="F41" s="46"/>
      <c r="G41" s="60"/>
      <c r="H41" s="69"/>
      <c r="I41" s="287"/>
      <c r="J41" s="50"/>
      <c r="K41" s="43"/>
    </row>
    <row r="42" spans="1:11">
      <c r="A42" s="60"/>
      <c r="B42" s="46" t="s">
        <v>399</v>
      </c>
      <c r="C42" s="43"/>
      <c r="D42" s="300"/>
      <c r="E42" s="59"/>
      <c r="F42" s="46"/>
      <c r="G42" s="60"/>
      <c r="H42" s="45"/>
      <c r="I42" s="287"/>
      <c r="J42" s="50"/>
      <c r="K42" s="43"/>
    </row>
    <row r="43" spans="1:11">
      <c r="A43" s="60"/>
      <c r="B43" s="43"/>
      <c r="C43" s="46"/>
      <c r="D43" s="300"/>
      <c r="E43" s="59"/>
      <c r="F43" s="46"/>
      <c r="G43" s="60"/>
      <c r="H43" s="45"/>
      <c r="I43" s="287"/>
      <c r="J43" s="50"/>
      <c r="K43" s="43"/>
    </row>
    <row r="44" spans="1:11">
      <c r="A44" s="60"/>
      <c r="B44" s="46" t="s">
        <v>187</v>
      </c>
      <c r="C44" s="43"/>
      <c r="D44" s="300"/>
      <c r="E44" s="59"/>
      <c r="F44" s="46"/>
      <c r="G44" s="60"/>
      <c r="H44" s="69"/>
      <c r="I44" s="287"/>
      <c r="J44" s="50"/>
      <c r="K44" s="43"/>
    </row>
    <row r="45" spans="1:11">
      <c r="A45" s="60"/>
      <c r="B45" s="43"/>
      <c r="C45" s="46"/>
      <c r="D45" s="300"/>
      <c r="E45" s="59"/>
      <c r="F45" s="43"/>
      <c r="G45" s="45"/>
      <c r="H45" s="60"/>
      <c r="I45" s="292"/>
      <c r="J45" s="50"/>
      <c r="K45" s="43"/>
    </row>
    <row r="46" spans="1:11">
      <c r="A46" s="60"/>
      <c r="B46" s="43"/>
      <c r="C46" s="43"/>
      <c r="D46" s="301"/>
      <c r="E46" s="50"/>
      <c r="F46" s="43"/>
      <c r="G46" s="45"/>
      <c r="H46" s="45"/>
      <c r="I46" s="43"/>
      <c r="J46" s="50"/>
      <c r="K46" s="43"/>
    </row>
    <row r="47" spans="1:11">
      <c r="A47" s="60"/>
      <c r="B47" s="43"/>
      <c r="C47" s="43"/>
      <c r="D47" s="301"/>
      <c r="E47" s="50"/>
      <c r="F47" s="43"/>
      <c r="G47" s="45"/>
      <c r="H47" s="45"/>
      <c r="I47" s="43"/>
      <c r="J47" s="50"/>
      <c r="K47" s="43"/>
    </row>
    <row r="48" spans="1:11">
      <c r="A48" s="45"/>
      <c r="B48" s="43"/>
      <c r="C48" s="43"/>
      <c r="D48" s="301"/>
      <c r="E48" s="50"/>
      <c r="F48" s="43"/>
      <c r="G48" s="45"/>
      <c r="H48" s="45"/>
      <c r="I48" s="43"/>
      <c r="J48" s="50"/>
      <c r="K48" s="43"/>
    </row>
    <row r="49" spans="1:11">
      <c r="A49" s="45"/>
      <c r="B49" s="43"/>
      <c r="C49" s="43"/>
      <c r="D49" s="301"/>
      <c r="E49" s="50"/>
      <c r="F49" s="43"/>
      <c r="G49" s="45"/>
      <c r="H49" s="45"/>
      <c r="I49" s="290"/>
      <c r="J49" s="50"/>
      <c r="K49" s="43"/>
    </row>
    <row r="50" spans="1:11">
      <c r="A50" s="45"/>
      <c r="B50" s="43"/>
      <c r="C50" s="43"/>
      <c r="D50" s="301"/>
      <c r="E50" s="50"/>
      <c r="F50" s="43"/>
      <c r="G50" s="45"/>
      <c r="H50" s="45"/>
      <c r="I50" s="290"/>
      <c r="J50" s="50"/>
      <c r="K50" s="43"/>
    </row>
    <row r="51" spans="1:11" ht="13.5" thickBot="1">
      <c r="A51" s="45"/>
      <c r="B51" s="46" t="s">
        <v>401</v>
      </c>
      <c r="C51" s="46" t="s">
        <v>431</v>
      </c>
      <c r="D51" s="302">
        <f>D30+D33+D38</f>
        <v>741843098866.77991</v>
      </c>
      <c r="E51" s="50"/>
      <c r="F51" s="43"/>
      <c r="G51" s="45"/>
      <c r="H51" s="60" t="s">
        <v>552</v>
      </c>
      <c r="I51" s="293">
        <f>+I38-I40</f>
        <v>846936113000</v>
      </c>
      <c r="J51" s="50"/>
      <c r="K51" s="43"/>
    </row>
    <row r="52" spans="1:11" ht="13.5" thickTop="1">
      <c r="A52" s="62"/>
      <c r="B52" s="63"/>
      <c r="C52" s="64"/>
      <c r="D52" s="303"/>
      <c r="E52" s="65"/>
      <c r="F52" s="63"/>
      <c r="G52" s="66"/>
      <c r="H52" s="66"/>
      <c r="I52" s="289"/>
      <c r="J52" s="67"/>
      <c r="K52" s="43"/>
    </row>
    <row r="53" spans="1:11" s="61" customFormat="1">
      <c r="A53" s="595" t="s">
        <v>553</v>
      </c>
      <c r="B53" s="596"/>
      <c r="C53" s="596"/>
      <c r="D53" s="596"/>
      <c r="E53" s="596"/>
      <c r="F53" s="596"/>
      <c r="G53" s="596"/>
      <c r="H53" s="596"/>
      <c r="I53" s="596"/>
      <c r="J53" s="597"/>
    </row>
    <row r="54" spans="1:11" s="61" customFormat="1">
      <c r="A54" s="595" t="s">
        <v>549</v>
      </c>
      <c r="B54" s="596"/>
      <c r="C54" s="596"/>
      <c r="D54" s="596"/>
      <c r="E54" s="596"/>
      <c r="F54" s="35"/>
      <c r="G54" s="596" t="s">
        <v>548</v>
      </c>
      <c r="H54" s="596"/>
      <c r="I54" s="596"/>
      <c r="J54" s="597"/>
    </row>
    <row r="55" spans="1:11">
      <c r="A55" s="37"/>
      <c r="B55" s="38"/>
      <c r="C55" s="38"/>
      <c r="D55" s="297" t="s">
        <v>377</v>
      </c>
      <c r="E55" s="39"/>
      <c r="F55" s="40"/>
      <c r="G55" s="41"/>
      <c r="H55" s="304"/>
      <c r="I55" s="284" t="s">
        <v>377</v>
      </c>
      <c r="J55" s="68"/>
      <c r="K55" s="43"/>
    </row>
    <row r="56" spans="1:11">
      <c r="A56" s="45"/>
      <c r="B56" s="46"/>
      <c r="C56" s="43"/>
      <c r="D56" s="285" t="s">
        <v>530</v>
      </c>
      <c r="E56" s="47"/>
      <c r="F56" s="40"/>
      <c r="G56" s="48"/>
      <c r="H56" s="305"/>
      <c r="I56" s="285" t="s">
        <v>530</v>
      </c>
      <c r="J56" s="42"/>
      <c r="K56" s="43"/>
    </row>
    <row r="57" spans="1:11" s="61" customFormat="1">
      <c r="A57" s="69"/>
      <c r="B57" s="46" t="s">
        <v>186</v>
      </c>
      <c r="C57" s="161" t="s">
        <v>311</v>
      </c>
      <c r="D57" s="312"/>
      <c r="E57" s="70"/>
      <c r="F57" s="55"/>
      <c r="G57" s="69"/>
      <c r="H57" s="320" t="s">
        <v>561</v>
      </c>
      <c r="I57" s="290"/>
      <c r="J57" s="70"/>
    </row>
    <row r="58" spans="1:11" s="61" customFormat="1">
      <c r="A58" s="69"/>
      <c r="B58" s="46"/>
      <c r="C58" s="161"/>
      <c r="D58" s="312"/>
      <c r="E58" s="70"/>
      <c r="F58" s="55"/>
      <c r="G58" s="69"/>
      <c r="H58" s="60"/>
      <c r="I58" s="290"/>
      <c r="J58" s="70"/>
    </row>
    <row r="59" spans="1:11" s="73" customFormat="1">
      <c r="A59" s="71"/>
      <c r="B59" s="52" t="s">
        <v>364</v>
      </c>
      <c r="C59" s="159" t="s">
        <v>365</v>
      </c>
      <c r="D59" s="313">
        <f>'STATEMENT 1'!G42</f>
        <v>0</v>
      </c>
      <c r="E59" s="53"/>
      <c r="F59" s="52"/>
      <c r="G59" s="51"/>
      <c r="H59" s="306" t="s">
        <v>389</v>
      </c>
      <c r="I59" s="294">
        <v>4507458000</v>
      </c>
      <c r="J59" s="72"/>
    </row>
    <row r="60" spans="1:11">
      <c r="A60" s="45"/>
      <c r="B60" s="43" t="s">
        <v>402</v>
      </c>
      <c r="C60" s="158" t="s">
        <v>402</v>
      </c>
      <c r="D60" s="301">
        <f>'STATEMENT 1'!G43</f>
        <v>1477000000</v>
      </c>
      <c r="E60" s="50"/>
      <c r="F60" s="43"/>
      <c r="G60" s="45"/>
      <c r="H60" s="307" t="s">
        <v>598</v>
      </c>
      <c r="I60" s="294">
        <v>29765294000</v>
      </c>
      <c r="J60" s="50"/>
    </row>
    <row r="61" spans="1:11">
      <c r="A61" s="45"/>
      <c r="B61" s="43" t="s">
        <v>366</v>
      </c>
      <c r="C61" s="158" t="s">
        <v>479</v>
      </c>
      <c r="D61" s="301">
        <f>'STATEMENT 1'!G44</f>
        <v>32514600000</v>
      </c>
      <c r="E61" s="50"/>
      <c r="F61" s="43"/>
      <c r="G61" s="45"/>
      <c r="H61" s="308" t="s">
        <v>558</v>
      </c>
      <c r="I61" s="294">
        <v>9016960000</v>
      </c>
      <c r="J61" s="50"/>
    </row>
    <row r="62" spans="1:11">
      <c r="A62" s="45"/>
      <c r="B62" s="43" t="s">
        <v>365</v>
      </c>
      <c r="C62" s="158"/>
      <c r="D62" s="301"/>
      <c r="E62" s="50"/>
      <c r="F62" s="43"/>
      <c r="G62" s="45"/>
      <c r="H62" s="309" t="s">
        <v>392</v>
      </c>
      <c r="I62" s="294">
        <v>6972057000</v>
      </c>
      <c r="J62" s="50"/>
    </row>
    <row r="63" spans="1:11">
      <c r="A63" s="45"/>
      <c r="B63" s="43"/>
      <c r="C63" s="148" t="s">
        <v>480</v>
      </c>
      <c r="D63" s="300">
        <f>SUM(D59:D62)</f>
        <v>33991600000</v>
      </c>
      <c r="E63" s="50"/>
      <c r="F63" s="43"/>
      <c r="G63" s="45"/>
      <c r="H63" s="307" t="s">
        <v>393</v>
      </c>
      <c r="I63" s="294">
        <v>95000000</v>
      </c>
      <c r="J63" s="50"/>
    </row>
    <row r="64" spans="1:11">
      <c r="A64" s="45"/>
      <c r="B64" s="46" t="s">
        <v>403</v>
      </c>
      <c r="C64" s="158"/>
      <c r="D64" s="300"/>
      <c r="E64" s="59"/>
      <c r="F64" s="46"/>
      <c r="G64" s="60"/>
      <c r="H64" s="307" t="s">
        <v>600</v>
      </c>
      <c r="I64" s="294">
        <v>1311500000</v>
      </c>
      <c r="J64" s="50"/>
    </row>
    <row r="65" spans="1:10">
      <c r="A65" s="45"/>
      <c r="B65" s="43"/>
      <c r="C65" s="158"/>
      <c r="D65" s="301"/>
      <c r="E65" s="50"/>
      <c r="F65" s="43"/>
      <c r="G65" s="45"/>
      <c r="H65" s="308" t="s">
        <v>555</v>
      </c>
      <c r="I65" s="294">
        <v>4900454000</v>
      </c>
      <c r="J65" s="50"/>
    </row>
    <row r="66" spans="1:10">
      <c r="A66" s="45"/>
      <c r="B66" s="46" t="s">
        <v>404</v>
      </c>
      <c r="C66" s="148" t="s">
        <v>404</v>
      </c>
      <c r="D66" s="301"/>
      <c r="E66" s="50"/>
      <c r="F66" s="43"/>
      <c r="G66" s="45"/>
      <c r="H66" s="308" t="s">
        <v>397</v>
      </c>
      <c r="I66" s="294">
        <v>4467870000</v>
      </c>
      <c r="J66" s="50"/>
    </row>
    <row r="67" spans="1:10">
      <c r="A67" s="45"/>
      <c r="B67" s="43"/>
      <c r="C67" s="158"/>
      <c r="D67" s="301"/>
      <c r="E67" s="50"/>
      <c r="F67" s="43"/>
      <c r="G67" s="45"/>
      <c r="H67" s="310" t="s">
        <v>398</v>
      </c>
      <c r="I67" s="294">
        <v>710230000</v>
      </c>
      <c r="J67" s="50"/>
    </row>
    <row r="68" spans="1:10">
      <c r="A68" s="45"/>
      <c r="B68" s="43"/>
      <c r="C68" s="148" t="s">
        <v>405</v>
      </c>
      <c r="D68" s="301"/>
      <c r="E68" s="50"/>
      <c r="F68" s="43"/>
      <c r="G68" s="45"/>
      <c r="H68" s="309" t="s">
        <v>560</v>
      </c>
      <c r="I68" s="294">
        <v>1167666000</v>
      </c>
      <c r="J68" s="50"/>
    </row>
    <row r="69" spans="1:10">
      <c r="A69" s="45"/>
      <c r="B69" s="43"/>
      <c r="C69" s="158"/>
      <c r="D69" s="301"/>
      <c r="E69" s="50"/>
      <c r="F69" s="43"/>
      <c r="G69" s="45"/>
      <c r="H69" s="310" t="s">
        <v>554</v>
      </c>
      <c r="I69" s="294">
        <v>2152838000</v>
      </c>
      <c r="J69" s="50"/>
    </row>
    <row r="70" spans="1:10">
      <c r="A70" s="45"/>
      <c r="B70" s="43"/>
      <c r="C70" s="214" t="s">
        <v>160</v>
      </c>
      <c r="D70" s="314">
        <f>'STATEMENT 2'!J480</f>
        <v>0</v>
      </c>
      <c r="E70" s="50"/>
      <c r="F70" s="43"/>
      <c r="G70" s="45"/>
      <c r="H70" s="307"/>
      <c r="I70" s="294"/>
      <c r="J70" s="50"/>
    </row>
    <row r="71" spans="1:10">
      <c r="A71" s="45"/>
      <c r="B71" s="43"/>
      <c r="C71" s="214" t="s">
        <v>161</v>
      </c>
      <c r="D71" s="314">
        <f>'STATEMENT 2'!J481</f>
        <v>4715400000</v>
      </c>
      <c r="E71" s="50"/>
      <c r="F71" s="43"/>
      <c r="G71" s="45"/>
      <c r="H71" s="307"/>
      <c r="I71" s="294"/>
      <c r="J71" s="50"/>
    </row>
    <row r="72" spans="1:10">
      <c r="A72" s="45"/>
      <c r="B72" s="43"/>
      <c r="C72" s="214" t="s">
        <v>162</v>
      </c>
      <c r="D72" s="314">
        <v>0</v>
      </c>
      <c r="E72" s="50"/>
      <c r="F72" s="43"/>
      <c r="G72" s="45"/>
      <c r="H72" s="307"/>
      <c r="I72" s="294"/>
      <c r="J72" s="50"/>
    </row>
    <row r="73" spans="1:10">
      <c r="A73" s="45"/>
      <c r="B73" s="43"/>
      <c r="C73" s="214" t="s">
        <v>163</v>
      </c>
      <c r="D73" s="314">
        <v>0</v>
      </c>
      <c r="E73" s="50"/>
      <c r="F73" s="43"/>
      <c r="G73" s="45"/>
      <c r="H73" s="307"/>
      <c r="I73" s="294"/>
      <c r="J73" s="50"/>
    </row>
    <row r="74" spans="1:10">
      <c r="A74" s="45"/>
      <c r="B74" s="43"/>
      <c r="C74" s="214" t="s">
        <v>164</v>
      </c>
      <c r="D74" s="314">
        <v>0</v>
      </c>
      <c r="E74" s="50"/>
      <c r="F74" s="43"/>
      <c r="G74" s="45"/>
      <c r="H74" s="309"/>
      <c r="I74" s="294"/>
      <c r="J74" s="50"/>
    </row>
    <row r="75" spans="1:10">
      <c r="A75" s="45"/>
      <c r="B75" s="43"/>
      <c r="C75" s="214" t="s">
        <v>165</v>
      </c>
      <c r="D75" s="314">
        <v>0</v>
      </c>
      <c r="E75" s="50"/>
      <c r="F75" s="43"/>
      <c r="G75" s="45"/>
      <c r="H75" s="309"/>
      <c r="I75" s="294"/>
      <c r="J75" s="50"/>
    </row>
    <row r="76" spans="1:10">
      <c r="A76" s="45"/>
      <c r="B76" s="43"/>
      <c r="C76" s="214" t="s">
        <v>166</v>
      </c>
      <c r="D76" s="314">
        <v>0</v>
      </c>
      <c r="E76" s="50"/>
      <c r="F76" s="43"/>
      <c r="G76" s="45"/>
      <c r="H76" s="321"/>
      <c r="I76" s="295"/>
      <c r="J76" s="50"/>
    </row>
    <row r="77" spans="1:10">
      <c r="A77" s="45"/>
      <c r="B77" s="46"/>
      <c r="C77" s="214" t="s">
        <v>167</v>
      </c>
      <c r="D77" s="315">
        <v>0</v>
      </c>
      <c r="E77" s="50"/>
      <c r="F77" s="43"/>
      <c r="G77" s="45"/>
      <c r="H77" s="45"/>
      <c r="I77" s="295"/>
      <c r="J77" s="50"/>
    </row>
    <row r="78" spans="1:10">
      <c r="A78" s="45"/>
      <c r="B78" s="43"/>
      <c r="C78" s="214" t="s">
        <v>168</v>
      </c>
      <c r="D78" s="314">
        <v>0</v>
      </c>
      <c r="E78" s="50"/>
      <c r="F78" s="43"/>
      <c r="G78" s="45"/>
      <c r="H78" s="45"/>
      <c r="I78" s="295"/>
      <c r="J78" s="50"/>
    </row>
    <row r="79" spans="1:10">
      <c r="A79" s="45"/>
      <c r="B79" s="43"/>
      <c r="C79" s="214" t="s">
        <v>169</v>
      </c>
      <c r="D79" s="314">
        <v>0</v>
      </c>
      <c r="E79" s="50"/>
      <c r="F79" s="43"/>
      <c r="G79" s="45"/>
      <c r="H79" s="45"/>
      <c r="I79" s="295"/>
      <c r="J79" s="50"/>
    </row>
    <row r="80" spans="1:10">
      <c r="A80" s="45"/>
      <c r="B80" s="46" t="s">
        <v>406</v>
      </c>
      <c r="C80" s="214" t="s">
        <v>170</v>
      </c>
      <c r="D80" s="314">
        <v>0</v>
      </c>
      <c r="E80" s="59"/>
      <c r="F80" s="43"/>
      <c r="G80" s="45"/>
      <c r="H80" s="45"/>
      <c r="I80" s="295"/>
      <c r="J80" s="50"/>
    </row>
    <row r="81" spans="1:10">
      <c r="A81" s="45"/>
      <c r="B81" s="43"/>
      <c r="C81" s="214" t="s">
        <v>433</v>
      </c>
      <c r="D81" s="314">
        <v>0</v>
      </c>
      <c r="E81" s="50"/>
      <c r="F81" s="46"/>
      <c r="G81" s="60"/>
      <c r="H81" s="45"/>
      <c r="I81" s="295"/>
      <c r="J81" s="50"/>
    </row>
    <row r="82" spans="1:10">
      <c r="A82" s="45"/>
      <c r="B82" s="43"/>
      <c r="C82" s="214" t="s">
        <v>17</v>
      </c>
      <c r="D82" s="457">
        <v>27367100000</v>
      </c>
      <c r="E82" s="50"/>
      <c r="F82" s="43"/>
      <c r="G82" s="45"/>
      <c r="H82" s="45"/>
      <c r="I82" s="287"/>
      <c r="J82" s="50"/>
    </row>
    <row r="83" spans="1:10">
      <c r="A83" s="45"/>
      <c r="B83" s="43"/>
      <c r="C83" s="158"/>
      <c r="D83" s="312"/>
      <c r="E83" s="50"/>
      <c r="F83" s="43"/>
      <c r="G83" s="45"/>
      <c r="H83" s="311" t="s">
        <v>551</v>
      </c>
      <c r="I83" s="292">
        <f>SUM(I59:I81)</f>
        <v>65067327000</v>
      </c>
      <c r="J83" s="50"/>
    </row>
    <row r="84" spans="1:10">
      <c r="A84" s="45"/>
      <c r="B84" s="43"/>
      <c r="C84" s="148" t="s">
        <v>406</v>
      </c>
      <c r="D84" s="312">
        <f>SUM(D70:D83)</f>
        <v>32082500000</v>
      </c>
      <c r="E84" s="50"/>
      <c r="F84" s="43"/>
      <c r="G84" s="45"/>
      <c r="H84" s="307"/>
      <c r="I84" s="290"/>
      <c r="J84" s="50"/>
    </row>
    <row r="85" spans="1:10">
      <c r="A85" s="45"/>
      <c r="B85" s="43"/>
      <c r="C85" s="158"/>
      <c r="D85" s="312"/>
      <c r="E85" s="50"/>
      <c r="F85" s="43"/>
      <c r="G85" s="45"/>
      <c r="H85" s="307" t="s">
        <v>400</v>
      </c>
      <c r="I85" s="287"/>
      <c r="J85" s="50"/>
    </row>
    <row r="86" spans="1:10">
      <c r="A86" s="45"/>
      <c r="B86" s="43"/>
      <c r="C86" s="148" t="s">
        <v>481</v>
      </c>
      <c r="D86" s="312"/>
      <c r="E86" s="50"/>
      <c r="F86" s="43"/>
      <c r="G86" s="45"/>
      <c r="H86" s="45"/>
      <c r="I86" s="290"/>
      <c r="J86" s="50"/>
    </row>
    <row r="87" spans="1:10" ht="13.5" thickBot="1">
      <c r="A87" s="45"/>
      <c r="B87" s="43"/>
      <c r="C87" s="158"/>
      <c r="D87" s="312"/>
      <c r="E87" s="50"/>
      <c r="F87" s="43"/>
      <c r="G87" s="45"/>
      <c r="H87" s="60" t="s">
        <v>562</v>
      </c>
      <c r="I87" s="293">
        <f>I85+I83</f>
        <v>65067327000</v>
      </c>
      <c r="J87" s="50"/>
    </row>
    <row r="88" spans="1:10" ht="13.5" thickTop="1">
      <c r="A88" s="45"/>
      <c r="B88" s="43"/>
      <c r="C88" s="214" t="s">
        <v>171</v>
      </c>
      <c r="D88" s="316">
        <v>0</v>
      </c>
      <c r="E88" s="50"/>
      <c r="F88" s="43"/>
      <c r="G88" s="45"/>
      <c r="H88" s="45"/>
      <c r="I88" s="295"/>
      <c r="J88" s="50"/>
    </row>
    <row r="89" spans="1:10">
      <c r="A89" s="45"/>
      <c r="B89" s="43"/>
      <c r="C89" s="214" t="s">
        <v>172</v>
      </c>
      <c r="D89" s="316">
        <v>0</v>
      </c>
      <c r="E89" s="50"/>
      <c r="F89" s="43"/>
      <c r="G89" s="45"/>
      <c r="H89" s="45"/>
      <c r="I89" s="287"/>
      <c r="J89" s="50"/>
    </row>
    <row r="90" spans="1:10">
      <c r="A90" s="45"/>
      <c r="B90" s="43"/>
      <c r="C90" s="214" t="s">
        <v>173</v>
      </c>
      <c r="D90" s="317">
        <v>0</v>
      </c>
      <c r="E90" s="50"/>
      <c r="F90" s="43"/>
      <c r="G90" s="45"/>
      <c r="H90" s="45"/>
      <c r="I90" s="287"/>
      <c r="J90" s="50"/>
    </row>
    <row r="91" spans="1:10">
      <c r="A91" s="45"/>
      <c r="B91" s="46" t="s">
        <v>407</v>
      </c>
      <c r="C91" s="214" t="s">
        <v>174</v>
      </c>
      <c r="D91" s="316">
        <v>0</v>
      </c>
      <c r="E91" s="59"/>
      <c r="F91" s="43"/>
      <c r="G91" s="45"/>
      <c r="H91" s="45"/>
      <c r="I91" s="287"/>
      <c r="J91" s="50"/>
    </row>
    <row r="92" spans="1:10">
      <c r="A92" s="45"/>
      <c r="B92" s="43"/>
      <c r="C92" s="214" t="s">
        <v>175</v>
      </c>
      <c r="D92" s="316">
        <v>0</v>
      </c>
      <c r="E92" s="50"/>
      <c r="F92" s="46"/>
      <c r="G92" s="60"/>
      <c r="H92" s="45"/>
      <c r="I92" s="287"/>
      <c r="J92" s="50"/>
    </row>
    <row r="93" spans="1:10">
      <c r="A93" s="45"/>
      <c r="B93" s="43"/>
      <c r="C93" s="214" t="s">
        <v>176</v>
      </c>
      <c r="D93" s="316">
        <v>0</v>
      </c>
      <c r="E93" s="59"/>
      <c r="F93" s="43"/>
      <c r="G93" s="45"/>
      <c r="H93" s="45"/>
      <c r="I93" s="287"/>
      <c r="J93" s="50"/>
    </row>
    <row r="94" spans="1:10">
      <c r="A94" s="45"/>
      <c r="B94" s="43"/>
      <c r="C94" s="214" t="s">
        <v>17</v>
      </c>
      <c r="D94" s="312">
        <f>'STATEMENT 2'!J506</f>
        <v>0</v>
      </c>
      <c r="E94" s="59"/>
      <c r="F94" s="43"/>
      <c r="G94" s="45"/>
      <c r="H94" s="45"/>
      <c r="I94" s="287"/>
      <c r="J94" s="50"/>
    </row>
    <row r="95" spans="1:10">
      <c r="A95" s="45"/>
      <c r="B95" s="46" t="s">
        <v>408</v>
      </c>
      <c r="C95" s="158"/>
      <c r="D95" s="318"/>
      <c r="E95" s="59"/>
      <c r="F95" s="43"/>
      <c r="G95" s="45"/>
      <c r="H95" s="45"/>
      <c r="I95" s="287"/>
      <c r="J95" s="50"/>
    </row>
    <row r="96" spans="1:10">
      <c r="A96" s="45"/>
      <c r="B96" s="43"/>
      <c r="C96" s="148" t="s">
        <v>407</v>
      </c>
      <c r="D96" s="312">
        <f>SUM(D88:D95)</f>
        <v>0</v>
      </c>
      <c r="E96" s="50"/>
      <c r="F96" s="43"/>
      <c r="G96" s="45"/>
      <c r="H96" s="45"/>
      <c r="I96" s="287"/>
      <c r="J96" s="50"/>
    </row>
    <row r="97" spans="1:10">
      <c r="A97" s="60"/>
      <c r="B97" s="46" t="s">
        <v>409</v>
      </c>
      <c r="C97" s="158"/>
      <c r="D97" s="301"/>
      <c r="E97" s="50"/>
      <c r="F97" s="43"/>
      <c r="G97" s="45"/>
      <c r="H97" s="45"/>
      <c r="I97" s="287"/>
      <c r="J97" s="50"/>
    </row>
    <row r="98" spans="1:10">
      <c r="A98" s="60"/>
      <c r="B98" s="46"/>
      <c r="C98" s="148" t="s">
        <v>482</v>
      </c>
      <c r="D98" s="301"/>
      <c r="E98" s="50"/>
      <c r="F98" s="43"/>
      <c r="G98" s="45"/>
      <c r="H98" s="45"/>
      <c r="I98" s="287"/>
      <c r="J98" s="50"/>
    </row>
    <row r="99" spans="1:10">
      <c r="A99" s="60"/>
      <c r="B99" s="46"/>
      <c r="C99" s="158"/>
      <c r="D99" s="301"/>
      <c r="E99" s="50"/>
      <c r="F99" s="43"/>
      <c r="G99" s="45"/>
      <c r="H99" s="45"/>
      <c r="I99" s="287"/>
      <c r="J99" s="50"/>
    </row>
    <row r="100" spans="1:10">
      <c r="A100" s="60"/>
      <c r="B100" s="46"/>
      <c r="C100" s="148" t="s">
        <v>408</v>
      </c>
      <c r="D100" s="458">
        <f>D96+D84</f>
        <v>32082500000</v>
      </c>
      <c r="E100" s="50"/>
      <c r="F100" s="43"/>
      <c r="G100" s="45"/>
      <c r="H100" s="45"/>
      <c r="I100" s="287"/>
      <c r="J100" s="50"/>
    </row>
    <row r="101" spans="1:10">
      <c r="A101" s="60"/>
      <c r="B101" s="46"/>
      <c r="C101" s="148"/>
      <c r="D101" s="301"/>
      <c r="E101" s="50"/>
      <c r="F101" s="43"/>
      <c r="G101" s="45"/>
      <c r="H101" s="45"/>
      <c r="I101" s="287"/>
      <c r="J101" s="50"/>
    </row>
    <row r="102" spans="1:10">
      <c r="A102" s="60"/>
      <c r="B102" s="46"/>
      <c r="C102" s="148"/>
      <c r="D102" s="301"/>
      <c r="E102" s="50"/>
      <c r="F102" s="43"/>
      <c r="G102" s="45"/>
      <c r="H102" s="45"/>
      <c r="I102" s="287"/>
      <c r="J102" s="50"/>
    </row>
    <row r="103" spans="1:10">
      <c r="A103" s="60"/>
      <c r="B103" s="46"/>
      <c r="C103" s="158"/>
      <c r="D103" s="301"/>
      <c r="E103" s="50"/>
      <c r="F103" s="43"/>
      <c r="G103" s="45"/>
      <c r="H103" s="45"/>
      <c r="I103" s="287"/>
      <c r="J103" s="50"/>
    </row>
    <row r="104" spans="1:10">
      <c r="A104" s="45"/>
      <c r="B104" s="43"/>
      <c r="C104" s="158"/>
      <c r="D104" s="301"/>
      <c r="E104" s="50"/>
      <c r="F104" s="43"/>
      <c r="G104" s="45"/>
      <c r="H104" s="45"/>
      <c r="I104" s="287"/>
      <c r="J104" s="50"/>
    </row>
    <row r="105" spans="1:10">
      <c r="A105" s="45"/>
      <c r="B105" s="43"/>
      <c r="C105" s="148" t="s">
        <v>472</v>
      </c>
      <c r="D105" s="301">
        <f>'STATEMENT 2'!J513</f>
        <v>92047600000</v>
      </c>
      <c r="E105" s="59"/>
      <c r="F105" s="43"/>
      <c r="G105" s="45"/>
      <c r="H105" s="45"/>
      <c r="I105" s="287"/>
      <c r="J105" s="50"/>
    </row>
    <row r="106" spans="1:10">
      <c r="A106" s="45"/>
      <c r="B106" s="43"/>
      <c r="C106" s="148"/>
      <c r="D106" s="300"/>
      <c r="E106" s="59"/>
      <c r="F106" s="43"/>
      <c r="G106" s="45"/>
      <c r="H106" s="45"/>
      <c r="I106" s="287"/>
      <c r="J106" s="50"/>
    </row>
    <row r="107" spans="1:10">
      <c r="A107" s="45"/>
      <c r="B107" s="43"/>
      <c r="C107" s="148" t="s">
        <v>473</v>
      </c>
      <c r="D107" s="300"/>
      <c r="E107" s="59"/>
      <c r="F107" s="43"/>
      <c r="G107" s="45"/>
      <c r="H107" s="45"/>
      <c r="I107" s="287"/>
      <c r="J107" s="50"/>
    </row>
    <row r="108" spans="1:10">
      <c r="A108" s="45"/>
      <c r="B108" s="43"/>
      <c r="C108" s="158"/>
      <c r="D108" s="301"/>
      <c r="E108" s="50"/>
      <c r="F108" s="43"/>
      <c r="G108" s="45"/>
      <c r="H108" s="45"/>
      <c r="I108" s="287"/>
      <c r="J108" s="50"/>
    </row>
    <row r="109" spans="1:10">
      <c r="A109" s="45"/>
      <c r="B109" s="46" t="s">
        <v>410</v>
      </c>
      <c r="C109" s="148" t="s">
        <v>483</v>
      </c>
      <c r="D109" s="301">
        <f>SUM(D105:D108)</f>
        <v>92047600000</v>
      </c>
      <c r="E109" s="59"/>
      <c r="F109" s="43"/>
      <c r="G109" s="45"/>
      <c r="H109" s="45"/>
      <c r="I109" s="287"/>
      <c r="J109" s="50"/>
    </row>
    <row r="110" spans="1:10">
      <c r="A110" s="45"/>
      <c r="B110" s="43"/>
      <c r="C110" s="158"/>
      <c r="D110" s="301" t="s">
        <v>1</v>
      </c>
      <c r="E110" s="50"/>
      <c r="F110" s="43"/>
      <c r="G110" s="45"/>
      <c r="H110" s="45"/>
      <c r="I110" s="287"/>
      <c r="J110" s="50"/>
    </row>
    <row r="111" spans="1:10" ht="13.5" thickBot="1">
      <c r="A111" s="45"/>
      <c r="B111" s="46" t="s">
        <v>411</v>
      </c>
      <c r="C111" s="148" t="s">
        <v>484</v>
      </c>
      <c r="D111" s="459">
        <f>D109+D100</f>
        <v>124130100000</v>
      </c>
      <c r="E111" s="59"/>
      <c r="F111" s="43"/>
      <c r="G111" s="45"/>
      <c r="H111" s="45"/>
      <c r="I111" s="287"/>
      <c r="J111" s="50"/>
    </row>
    <row r="112" spans="1:10" ht="13.5" thickTop="1">
      <c r="A112" s="62"/>
      <c r="B112" s="64"/>
      <c r="C112" s="160"/>
      <c r="D112" s="319"/>
      <c r="E112" s="67"/>
      <c r="F112" s="43"/>
      <c r="G112" s="62"/>
      <c r="H112" s="62"/>
      <c r="I112" s="291"/>
      <c r="J112" s="67"/>
    </row>
    <row r="113" spans="1:10">
      <c r="A113" s="62"/>
      <c r="B113" s="63"/>
      <c r="C113" s="64"/>
      <c r="D113" s="289"/>
      <c r="E113" s="63"/>
      <c r="F113" s="64"/>
      <c r="G113" s="64"/>
      <c r="H113" s="64"/>
      <c r="I113" s="291"/>
      <c r="J113" s="67"/>
    </row>
    <row r="114" spans="1:10" s="61" customFormat="1">
      <c r="A114" s="595" t="s">
        <v>184</v>
      </c>
      <c r="B114" s="596"/>
      <c r="C114" s="596"/>
      <c r="D114" s="596"/>
      <c r="E114" s="596"/>
      <c r="F114" s="596"/>
      <c r="G114" s="596"/>
      <c r="H114" s="596"/>
      <c r="I114" s="596"/>
      <c r="J114" s="597"/>
    </row>
    <row r="115" spans="1:10" s="61" customFormat="1">
      <c r="A115" s="595" t="s">
        <v>549</v>
      </c>
      <c r="B115" s="596"/>
      <c r="C115" s="596"/>
      <c r="D115" s="596"/>
      <c r="E115" s="597"/>
      <c r="F115" s="35"/>
      <c r="G115" s="595" t="s">
        <v>548</v>
      </c>
      <c r="H115" s="596"/>
      <c r="I115" s="596"/>
      <c r="J115" s="597"/>
    </row>
    <row r="116" spans="1:10" s="61" customFormat="1">
      <c r="A116" s="74"/>
      <c r="B116" s="75"/>
      <c r="C116" s="76"/>
      <c r="D116" s="322"/>
      <c r="E116" s="77"/>
      <c r="F116" s="55"/>
      <c r="G116" s="74"/>
      <c r="H116" s="324"/>
      <c r="I116" s="322"/>
      <c r="J116" s="77"/>
    </row>
    <row r="117" spans="1:10" s="78" customFormat="1">
      <c r="A117" s="60"/>
      <c r="B117" s="46" t="s">
        <v>412</v>
      </c>
      <c r="C117" s="46"/>
      <c r="D117" s="300">
        <f>D25+D42</f>
        <v>0</v>
      </c>
      <c r="E117" s="59"/>
      <c r="F117" s="46"/>
      <c r="G117" s="60"/>
      <c r="H117" s="311" t="s">
        <v>413</v>
      </c>
      <c r="I117" s="318">
        <f>I51</f>
        <v>846936113000</v>
      </c>
      <c r="J117" s="59"/>
    </row>
    <row r="118" spans="1:10" s="78" customFormat="1">
      <c r="A118" s="60"/>
      <c r="B118" s="46" t="s">
        <v>186</v>
      </c>
      <c r="C118" s="148" t="s">
        <v>412</v>
      </c>
      <c r="D118" s="300">
        <f>D30+D35</f>
        <v>736934798866.77991</v>
      </c>
      <c r="E118" s="59"/>
      <c r="F118" s="46"/>
      <c r="G118" s="60"/>
      <c r="H118" s="311" t="s">
        <v>414</v>
      </c>
      <c r="I118" s="318">
        <f>I87</f>
        <v>65067327000</v>
      </c>
      <c r="J118" s="59"/>
    </row>
    <row r="119" spans="1:10" s="78" customFormat="1">
      <c r="A119" s="60"/>
      <c r="B119" s="46" t="s">
        <v>415</v>
      </c>
      <c r="C119" s="148" t="s">
        <v>186</v>
      </c>
      <c r="D119" s="300">
        <f>D63</f>
        <v>33991600000</v>
      </c>
      <c r="E119" s="59"/>
      <c r="F119" s="46"/>
      <c r="G119" s="60"/>
      <c r="H119" s="60"/>
      <c r="I119" s="318"/>
      <c r="J119" s="59"/>
    </row>
    <row r="120" spans="1:10" s="78" customFormat="1">
      <c r="A120" s="60"/>
      <c r="B120" s="46"/>
      <c r="C120" s="148" t="s">
        <v>485</v>
      </c>
      <c r="D120" s="300">
        <f>D38</f>
        <v>4908300000</v>
      </c>
      <c r="E120" s="59"/>
      <c r="F120" s="46"/>
      <c r="G120" s="60"/>
      <c r="H120" s="60"/>
      <c r="I120" s="318"/>
      <c r="J120" s="59"/>
    </row>
    <row r="121" spans="1:10" s="78" customFormat="1">
      <c r="A121" s="60"/>
      <c r="B121" s="46" t="s">
        <v>416</v>
      </c>
      <c r="C121" s="148" t="s">
        <v>486</v>
      </c>
      <c r="D121" s="460">
        <f>D111</f>
        <v>124130100000</v>
      </c>
      <c r="E121" s="59"/>
      <c r="F121" s="46"/>
      <c r="G121" s="60"/>
      <c r="H121" s="60"/>
      <c r="I121" s="318"/>
      <c r="J121" s="59"/>
    </row>
    <row r="122" spans="1:10" s="78" customFormat="1" ht="13.5" thickBot="1">
      <c r="A122" s="60"/>
      <c r="B122" s="46"/>
      <c r="C122" s="463" t="s">
        <v>694</v>
      </c>
      <c r="D122" s="459">
        <v>6459981000</v>
      </c>
      <c r="E122" s="59"/>
      <c r="F122" s="46"/>
      <c r="G122" s="60"/>
      <c r="H122" s="60"/>
      <c r="I122" s="318"/>
      <c r="J122" s="59"/>
    </row>
    <row r="123" spans="1:10" s="78" customFormat="1" ht="13.5" thickTop="1">
      <c r="A123" s="66"/>
      <c r="B123" s="63" t="s">
        <v>417</v>
      </c>
      <c r="C123" s="381" t="s">
        <v>564</v>
      </c>
      <c r="D123" s="323">
        <f>SUM(D117:D122)</f>
        <v>906424779866.77991</v>
      </c>
      <c r="E123" s="59"/>
      <c r="F123" s="46"/>
      <c r="G123" s="60"/>
      <c r="H123" s="380" t="s">
        <v>563</v>
      </c>
      <c r="I123" s="325">
        <f>SUM(I117:I118)</f>
        <v>912003440000</v>
      </c>
      <c r="J123" s="59"/>
    </row>
    <row r="124" spans="1:10">
      <c r="A124" s="62"/>
      <c r="B124" s="64"/>
      <c r="C124" s="64"/>
      <c r="D124" s="291"/>
      <c r="E124" s="67"/>
      <c r="F124" s="64"/>
      <c r="G124" s="62"/>
      <c r="H124" s="63"/>
      <c r="I124" s="289"/>
      <c r="J124" s="67"/>
    </row>
  </sheetData>
  <mergeCells count="13">
    <mergeCell ref="A53:J53"/>
    <mergeCell ref="A54:E54"/>
    <mergeCell ref="G54:J54"/>
    <mergeCell ref="A114:J114"/>
    <mergeCell ref="A115:E115"/>
    <mergeCell ref="G115:J115"/>
    <mergeCell ref="A6:E6"/>
    <mergeCell ref="G6:J6"/>
    <mergeCell ref="B1:I1"/>
    <mergeCell ref="B2:I2"/>
    <mergeCell ref="B3:I3"/>
    <mergeCell ref="B4:I4"/>
    <mergeCell ref="B5:I5"/>
  </mergeCells>
  <printOptions horizontalCentered="1"/>
  <pageMargins left="0.27559055118110237" right="0.15748031496062992" top="0.43307086614173229" bottom="0.47244094488188981" header="0.27559055118110237" footer="0.15748031496062992"/>
  <pageSetup scale="75" firstPageNumber="12" orientation="portrait" useFirstPageNumber="1" r:id="rId1"/>
  <headerFooter>
    <oddFooter>&amp;C&amp;P</oddFooter>
  </headerFooter>
  <rowBreaks count="2" manualBreakCount="2">
    <brk id="52" max="16383" man="1"/>
    <brk id="11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0"/>
  <sheetViews>
    <sheetView tabSelected="1" topLeftCell="A28" zoomScaleNormal="100" workbookViewId="0">
      <selection activeCell="K48" sqref="K48"/>
    </sheetView>
  </sheetViews>
  <sheetFormatPr defaultColWidth="8" defaultRowHeight="12.75"/>
  <cols>
    <col min="1" max="1" width="1.5703125" style="80" customWidth="1"/>
    <col min="2" max="2" width="48.7109375" style="80" customWidth="1"/>
    <col min="3" max="3" width="20.28515625" style="157" customWidth="1"/>
    <col min="4" max="4" width="1.140625" style="80" customWidth="1"/>
    <col min="5" max="5" width="1.28515625" style="80" customWidth="1"/>
    <col min="6" max="6" width="0.5703125" style="80" customWidth="1"/>
    <col min="7" max="7" width="46.140625" style="80" customWidth="1"/>
    <col min="8" max="8" width="15.42578125" style="80" bestFit="1" customWidth="1"/>
    <col min="9" max="9" width="16.5703125" style="80" hidden="1" customWidth="1"/>
    <col min="10" max="10" width="8" style="80"/>
    <col min="11" max="11" width="20.140625" style="80" customWidth="1"/>
    <col min="12" max="256" width="8" style="80"/>
    <col min="257" max="257" width="1.5703125" style="80" customWidth="1"/>
    <col min="258" max="258" width="41.42578125" style="80" customWidth="1"/>
    <col min="259" max="259" width="15.28515625" style="80" customWidth="1"/>
    <col min="260" max="260" width="1.140625" style="80" customWidth="1"/>
    <col min="261" max="261" width="1.28515625" style="80" customWidth="1"/>
    <col min="262" max="262" width="0.5703125" style="80" customWidth="1"/>
    <col min="263" max="263" width="39.85546875" style="80" customWidth="1"/>
    <col min="264" max="264" width="15.42578125" style="80" bestFit="1" customWidth="1"/>
    <col min="265" max="265" width="1.140625" style="80" customWidth="1"/>
    <col min="266" max="266" width="8" style="80"/>
    <col min="267" max="267" width="20.140625" style="80" customWidth="1"/>
    <col min="268" max="512" width="8" style="80"/>
    <col min="513" max="513" width="1.5703125" style="80" customWidth="1"/>
    <col min="514" max="514" width="41.42578125" style="80" customWidth="1"/>
    <col min="515" max="515" width="15.28515625" style="80" customWidth="1"/>
    <col min="516" max="516" width="1.140625" style="80" customWidth="1"/>
    <col min="517" max="517" width="1.28515625" style="80" customWidth="1"/>
    <col min="518" max="518" width="0.5703125" style="80" customWidth="1"/>
    <col min="519" max="519" width="39.85546875" style="80" customWidth="1"/>
    <col min="520" max="520" width="15.42578125" style="80" bestFit="1" customWidth="1"/>
    <col min="521" max="521" width="1.140625" style="80" customWidth="1"/>
    <col min="522" max="522" width="8" style="80"/>
    <col min="523" max="523" width="20.140625" style="80" customWidth="1"/>
    <col min="524" max="768" width="8" style="80"/>
    <col min="769" max="769" width="1.5703125" style="80" customWidth="1"/>
    <col min="770" max="770" width="41.42578125" style="80" customWidth="1"/>
    <col min="771" max="771" width="15.28515625" style="80" customWidth="1"/>
    <col min="772" max="772" width="1.140625" style="80" customWidth="1"/>
    <col min="773" max="773" width="1.28515625" style="80" customWidth="1"/>
    <col min="774" max="774" width="0.5703125" style="80" customWidth="1"/>
    <col min="775" max="775" width="39.85546875" style="80" customWidth="1"/>
    <col min="776" max="776" width="15.42578125" style="80" bestFit="1" customWidth="1"/>
    <col min="777" max="777" width="1.140625" style="80" customWidth="1"/>
    <col min="778" max="778" width="8" style="80"/>
    <col min="779" max="779" width="20.140625" style="80" customWidth="1"/>
    <col min="780" max="1024" width="8" style="80"/>
    <col min="1025" max="1025" width="1.5703125" style="80" customWidth="1"/>
    <col min="1026" max="1026" width="41.42578125" style="80" customWidth="1"/>
    <col min="1027" max="1027" width="15.28515625" style="80" customWidth="1"/>
    <col min="1028" max="1028" width="1.140625" style="80" customWidth="1"/>
    <col min="1029" max="1029" width="1.28515625" style="80" customWidth="1"/>
    <col min="1030" max="1030" width="0.5703125" style="80" customWidth="1"/>
    <col min="1031" max="1031" width="39.85546875" style="80" customWidth="1"/>
    <col min="1032" max="1032" width="15.42578125" style="80" bestFit="1" customWidth="1"/>
    <col min="1033" max="1033" width="1.140625" style="80" customWidth="1"/>
    <col min="1034" max="1034" width="8" style="80"/>
    <col min="1035" max="1035" width="20.140625" style="80" customWidth="1"/>
    <col min="1036" max="1280" width="8" style="80"/>
    <col min="1281" max="1281" width="1.5703125" style="80" customWidth="1"/>
    <col min="1282" max="1282" width="41.42578125" style="80" customWidth="1"/>
    <col min="1283" max="1283" width="15.28515625" style="80" customWidth="1"/>
    <col min="1284" max="1284" width="1.140625" style="80" customWidth="1"/>
    <col min="1285" max="1285" width="1.28515625" style="80" customWidth="1"/>
    <col min="1286" max="1286" width="0.5703125" style="80" customWidth="1"/>
    <col min="1287" max="1287" width="39.85546875" style="80" customWidth="1"/>
    <col min="1288" max="1288" width="15.42578125" style="80" bestFit="1" customWidth="1"/>
    <col min="1289" max="1289" width="1.140625" style="80" customWidth="1"/>
    <col min="1290" max="1290" width="8" style="80"/>
    <col min="1291" max="1291" width="20.140625" style="80" customWidth="1"/>
    <col min="1292" max="1536" width="8" style="80"/>
    <col min="1537" max="1537" width="1.5703125" style="80" customWidth="1"/>
    <col min="1538" max="1538" width="41.42578125" style="80" customWidth="1"/>
    <col min="1539" max="1539" width="15.28515625" style="80" customWidth="1"/>
    <col min="1540" max="1540" width="1.140625" style="80" customWidth="1"/>
    <col min="1541" max="1541" width="1.28515625" style="80" customWidth="1"/>
    <col min="1542" max="1542" width="0.5703125" style="80" customWidth="1"/>
    <col min="1543" max="1543" width="39.85546875" style="80" customWidth="1"/>
    <col min="1544" max="1544" width="15.42578125" style="80" bestFit="1" customWidth="1"/>
    <col min="1545" max="1545" width="1.140625" style="80" customWidth="1"/>
    <col min="1546" max="1546" width="8" style="80"/>
    <col min="1547" max="1547" width="20.140625" style="80" customWidth="1"/>
    <col min="1548" max="1792" width="8" style="80"/>
    <col min="1793" max="1793" width="1.5703125" style="80" customWidth="1"/>
    <col min="1794" max="1794" width="41.42578125" style="80" customWidth="1"/>
    <col min="1795" max="1795" width="15.28515625" style="80" customWidth="1"/>
    <col min="1796" max="1796" width="1.140625" style="80" customWidth="1"/>
    <col min="1797" max="1797" width="1.28515625" style="80" customWidth="1"/>
    <col min="1798" max="1798" width="0.5703125" style="80" customWidth="1"/>
    <col min="1799" max="1799" width="39.85546875" style="80" customWidth="1"/>
    <col min="1800" max="1800" width="15.42578125" style="80" bestFit="1" customWidth="1"/>
    <col min="1801" max="1801" width="1.140625" style="80" customWidth="1"/>
    <col min="1802" max="1802" width="8" style="80"/>
    <col min="1803" max="1803" width="20.140625" style="80" customWidth="1"/>
    <col min="1804" max="2048" width="8" style="80"/>
    <col min="2049" max="2049" width="1.5703125" style="80" customWidth="1"/>
    <col min="2050" max="2050" width="41.42578125" style="80" customWidth="1"/>
    <col min="2051" max="2051" width="15.28515625" style="80" customWidth="1"/>
    <col min="2052" max="2052" width="1.140625" style="80" customWidth="1"/>
    <col min="2053" max="2053" width="1.28515625" style="80" customWidth="1"/>
    <col min="2054" max="2054" width="0.5703125" style="80" customWidth="1"/>
    <col min="2055" max="2055" width="39.85546875" style="80" customWidth="1"/>
    <col min="2056" max="2056" width="15.42578125" style="80" bestFit="1" customWidth="1"/>
    <col min="2057" max="2057" width="1.140625" style="80" customWidth="1"/>
    <col min="2058" max="2058" width="8" style="80"/>
    <col min="2059" max="2059" width="20.140625" style="80" customWidth="1"/>
    <col min="2060" max="2304" width="8" style="80"/>
    <col min="2305" max="2305" width="1.5703125" style="80" customWidth="1"/>
    <col min="2306" max="2306" width="41.42578125" style="80" customWidth="1"/>
    <col min="2307" max="2307" width="15.28515625" style="80" customWidth="1"/>
    <col min="2308" max="2308" width="1.140625" style="80" customWidth="1"/>
    <col min="2309" max="2309" width="1.28515625" style="80" customWidth="1"/>
    <col min="2310" max="2310" width="0.5703125" style="80" customWidth="1"/>
    <col min="2311" max="2311" width="39.85546875" style="80" customWidth="1"/>
    <col min="2312" max="2312" width="15.42578125" style="80" bestFit="1" customWidth="1"/>
    <col min="2313" max="2313" width="1.140625" style="80" customWidth="1"/>
    <col min="2314" max="2314" width="8" style="80"/>
    <col min="2315" max="2315" width="20.140625" style="80" customWidth="1"/>
    <col min="2316" max="2560" width="8" style="80"/>
    <col min="2561" max="2561" width="1.5703125" style="80" customWidth="1"/>
    <col min="2562" max="2562" width="41.42578125" style="80" customWidth="1"/>
    <col min="2563" max="2563" width="15.28515625" style="80" customWidth="1"/>
    <col min="2564" max="2564" width="1.140625" style="80" customWidth="1"/>
    <col min="2565" max="2565" width="1.28515625" style="80" customWidth="1"/>
    <col min="2566" max="2566" width="0.5703125" style="80" customWidth="1"/>
    <col min="2567" max="2567" width="39.85546875" style="80" customWidth="1"/>
    <col min="2568" max="2568" width="15.42578125" style="80" bestFit="1" customWidth="1"/>
    <col min="2569" max="2569" width="1.140625" style="80" customWidth="1"/>
    <col min="2570" max="2570" width="8" style="80"/>
    <col min="2571" max="2571" width="20.140625" style="80" customWidth="1"/>
    <col min="2572" max="2816" width="8" style="80"/>
    <col min="2817" max="2817" width="1.5703125" style="80" customWidth="1"/>
    <col min="2818" max="2818" width="41.42578125" style="80" customWidth="1"/>
    <col min="2819" max="2819" width="15.28515625" style="80" customWidth="1"/>
    <col min="2820" max="2820" width="1.140625" style="80" customWidth="1"/>
    <col min="2821" max="2821" width="1.28515625" style="80" customWidth="1"/>
    <col min="2822" max="2822" width="0.5703125" style="80" customWidth="1"/>
    <col min="2823" max="2823" width="39.85546875" style="80" customWidth="1"/>
    <col min="2824" max="2824" width="15.42578125" style="80" bestFit="1" customWidth="1"/>
    <col min="2825" max="2825" width="1.140625" style="80" customWidth="1"/>
    <col min="2826" max="2826" width="8" style="80"/>
    <col min="2827" max="2827" width="20.140625" style="80" customWidth="1"/>
    <col min="2828" max="3072" width="8" style="80"/>
    <col min="3073" max="3073" width="1.5703125" style="80" customWidth="1"/>
    <col min="3074" max="3074" width="41.42578125" style="80" customWidth="1"/>
    <col min="3075" max="3075" width="15.28515625" style="80" customWidth="1"/>
    <col min="3076" max="3076" width="1.140625" style="80" customWidth="1"/>
    <col min="3077" max="3077" width="1.28515625" style="80" customWidth="1"/>
    <col min="3078" max="3078" width="0.5703125" style="80" customWidth="1"/>
    <col min="3079" max="3079" width="39.85546875" style="80" customWidth="1"/>
    <col min="3080" max="3080" width="15.42578125" style="80" bestFit="1" customWidth="1"/>
    <col min="3081" max="3081" width="1.140625" style="80" customWidth="1"/>
    <col min="3082" max="3082" width="8" style="80"/>
    <col min="3083" max="3083" width="20.140625" style="80" customWidth="1"/>
    <col min="3084" max="3328" width="8" style="80"/>
    <col min="3329" max="3329" width="1.5703125" style="80" customWidth="1"/>
    <col min="3330" max="3330" width="41.42578125" style="80" customWidth="1"/>
    <col min="3331" max="3331" width="15.28515625" style="80" customWidth="1"/>
    <col min="3332" max="3332" width="1.140625" style="80" customWidth="1"/>
    <col min="3333" max="3333" width="1.28515625" style="80" customWidth="1"/>
    <col min="3334" max="3334" width="0.5703125" style="80" customWidth="1"/>
    <col min="3335" max="3335" width="39.85546875" style="80" customWidth="1"/>
    <col min="3336" max="3336" width="15.42578125" style="80" bestFit="1" customWidth="1"/>
    <col min="3337" max="3337" width="1.140625" style="80" customWidth="1"/>
    <col min="3338" max="3338" width="8" style="80"/>
    <col min="3339" max="3339" width="20.140625" style="80" customWidth="1"/>
    <col min="3340" max="3584" width="8" style="80"/>
    <col min="3585" max="3585" width="1.5703125" style="80" customWidth="1"/>
    <col min="3586" max="3586" width="41.42578125" style="80" customWidth="1"/>
    <col min="3587" max="3587" width="15.28515625" style="80" customWidth="1"/>
    <col min="3588" max="3588" width="1.140625" style="80" customWidth="1"/>
    <col min="3589" max="3589" width="1.28515625" style="80" customWidth="1"/>
    <col min="3590" max="3590" width="0.5703125" style="80" customWidth="1"/>
    <col min="3591" max="3591" width="39.85546875" style="80" customWidth="1"/>
    <col min="3592" max="3592" width="15.42578125" style="80" bestFit="1" customWidth="1"/>
    <col min="3593" max="3593" width="1.140625" style="80" customWidth="1"/>
    <col min="3594" max="3594" width="8" style="80"/>
    <col min="3595" max="3595" width="20.140625" style="80" customWidth="1"/>
    <col min="3596" max="3840" width="8" style="80"/>
    <col min="3841" max="3841" width="1.5703125" style="80" customWidth="1"/>
    <col min="3842" max="3842" width="41.42578125" style="80" customWidth="1"/>
    <col min="3843" max="3843" width="15.28515625" style="80" customWidth="1"/>
    <col min="3844" max="3844" width="1.140625" style="80" customWidth="1"/>
    <col min="3845" max="3845" width="1.28515625" style="80" customWidth="1"/>
    <col min="3846" max="3846" width="0.5703125" style="80" customWidth="1"/>
    <col min="3847" max="3847" width="39.85546875" style="80" customWidth="1"/>
    <col min="3848" max="3848" width="15.42578125" style="80" bestFit="1" customWidth="1"/>
    <col min="3849" max="3849" width="1.140625" style="80" customWidth="1"/>
    <col min="3850" max="3850" width="8" style="80"/>
    <col min="3851" max="3851" width="20.140625" style="80" customWidth="1"/>
    <col min="3852" max="4096" width="8" style="80"/>
    <col min="4097" max="4097" width="1.5703125" style="80" customWidth="1"/>
    <col min="4098" max="4098" width="41.42578125" style="80" customWidth="1"/>
    <col min="4099" max="4099" width="15.28515625" style="80" customWidth="1"/>
    <col min="4100" max="4100" width="1.140625" style="80" customWidth="1"/>
    <col min="4101" max="4101" width="1.28515625" style="80" customWidth="1"/>
    <col min="4102" max="4102" width="0.5703125" style="80" customWidth="1"/>
    <col min="4103" max="4103" width="39.85546875" style="80" customWidth="1"/>
    <col min="4104" max="4104" width="15.42578125" style="80" bestFit="1" customWidth="1"/>
    <col min="4105" max="4105" width="1.140625" style="80" customWidth="1"/>
    <col min="4106" max="4106" width="8" style="80"/>
    <col min="4107" max="4107" width="20.140625" style="80" customWidth="1"/>
    <col min="4108" max="4352" width="8" style="80"/>
    <col min="4353" max="4353" width="1.5703125" style="80" customWidth="1"/>
    <col min="4354" max="4354" width="41.42578125" style="80" customWidth="1"/>
    <col min="4355" max="4355" width="15.28515625" style="80" customWidth="1"/>
    <col min="4356" max="4356" width="1.140625" style="80" customWidth="1"/>
    <col min="4357" max="4357" width="1.28515625" style="80" customWidth="1"/>
    <col min="4358" max="4358" width="0.5703125" style="80" customWidth="1"/>
    <col min="4359" max="4359" width="39.85546875" style="80" customWidth="1"/>
    <col min="4360" max="4360" width="15.42578125" style="80" bestFit="1" customWidth="1"/>
    <col min="4361" max="4361" width="1.140625" style="80" customWidth="1"/>
    <col min="4362" max="4362" width="8" style="80"/>
    <col min="4363" max="4363" width="20.140625" style="80" customWidth="1"/>
    <col min="4364" max="4608" width="8" style="80"/>
    <col min="4609" max="4609" width="1.5703125" style="80" customWidth="1"/>
    <col min="4610" max="4610" width="41.42578125" style="80" customWidth="1"/>
    <col min="4611" max="4611" width="15.28515625" style="80" customWidth="1"/>
    <col min="4612" max="4612" width="1.140625" style="80" customWidth="1"/>
    <col min="4613" max="4613" width="1.28515625" style="80" customWidth="1"/>
    <col min="4614" max="4614" width="0.5703125" style="80" customWidth="1"/>
    <col min="4615" max="4615" width="39.85546875" style="80" customWidth="1"/>
    <col min="4616" max="4616" width="15.42578125" style="80" bestFit="1" customWidth="1"/>
    <col min="4617" max="4617" width="1.140625" style="80" customWidth="1"/>
    <col min="4618" max="4618" width="8" style="80"/>
    <col min="4619" max="4619" width="20.140625" style="80" customWidth="1"/>
    <col min="4620" max="4864" width="8" style="80"/>
    <col min="4865" max="4865" width="1.5703125" style="80" customWidth="1"/>
    <col min="4866" max="4866" width="41.42578125" style="80" customWidth="1"/>
    <col min="4867" max="4867" width="15.28515625" style="80" customWidth="1"/>
    <col min="4868" max="4868" width="1.140625" style="80" customWidth="1"/>
    <col min="4869" max="4869" width="1.28515625" style="80" customWidth="1"/>
    <col min="4870" max="4870" width="0.5703125" style="80" customWidth="1"/>
    <col min="4871" max="4871" width="39.85546875" style="80" customWidth="1"/>
    <col min="4872" max="4872" width="15.42578125" style="80" bestFit="1" customWidth="1"/>
    <col min="4873" max="4873" width="1.140625" style="80" customWidth="1"/>
    <col min="4874" max="4874" width="8" style="80"/>
    <col min="4875" max="4875" width="20.140625" style="80" customWidth="1"/>
    <col min="4876" max="5120" width="8" style="80"/>
    <col min="5121" max="5121" width="1.5703125" style="80" customWidth="1"/>
    <col min="5122" max="5122" width="41.42578125" style="80" customWidth="1"/>
    <col min="5123" max="5123" width="15.28515625" style="80" customWidth="1"/>
    <col min="5124" max="5124" width="1.140625" style="80" customWidth="1"/>
    <col min="5125" max="5125" width="1.28515625" style="80" customWidth="1"/>
    <col min="5126" max="5126" width="0.5703125" style="80" customWidth="1"/>
    <col min="5127" max="5127" width="39.85546875" style="80" customWidth="1"/>
    <col min="5128" max="5128" width="15.42578125" style="80" bestFit="1" customWidth="1"/>
    <col min="5129" max="5129" width="1.140625" style="80" customWidth="1"/>
    <col min="5130" max="5130" width="8" style="80"/>
    <col min="5131" max="5131" width="20.140625" style="80" customWidth="1"/>
    <col min="5132" max="5376" width="8" style="80"/>
    <col min="5377" max="5377" width="1.5703125" style="80" customWidth="1"/>
    <col min="5378" max="5378" width="41.42578125" style="80" customWidth="1"/>
    <col min="5379" max="5379" width="15.28515625" style="80" customWidth="1"/>
    <col min="5380" max="5380" width="1.140625" style="80" customWidth="1"/>
    <col min="5381" max="5381" width="1.28515625" style="80" customWidth="1"/>
    <col min="5382" max="5382" width="0.5703125" style="80" customWidth="1"/>
    <col min="5383" max="5383" width="39.85546875" style="80" customWidth="1"/>
    <col min="5384" max="5384" width="15.42578125" style="80" bestFit="1" customWidth="1"/>
    <col min="5385" max="5385" width="1.140625" style="80" customWidth="1"/>
    <col min="5386" max="5386" width="8" style="80"/>
    <col min="5387" max="5387" width="20.140625" style="80" customWidth="1"/>
    <col min="5388" max="5632" width="8" style="80"/>
    <col min="5633" max="5633" width="1.5703125" style="80" customWidth="1"/>
    <col min="5634" max="5634" width="41.42578125" style="80" customWidth="1"/>
    <col min="5635" max="5635" width="15.28515625" style="80" customWidth="1"/>
    <col min="5636" max="5636" width="1.140625" style="80" customWidth="1"/>
    <col min="5637" max="5637" width="1.28515625" style="80" customWidth="1"/>
    <col min="5638" max="5638" width="0.5703125" style="80" customWidth="1"/>
    <col min="5639" max="5639" width="39.85546875" style="80" customWidth="1"/>
    <col min="5640" max="5640" width="15.42578125" style="80" bestFit="1" customWidth="1"/>
    <col min="5641" max="5641" width="1.140625" style="80" customWidth="1"/>
    <col min="5642" max="5642" width="8" style="80"/>
    <col min="5643" max="5643" width="20.140625" style="80" customWidth="1"/>
    <col min="5644" max="5888" width="8" style="80"/>
    <col min="5889" max="5889" width="1.5703125" style="80" customWidth="1"/>
    <col min="5890" max="5890" width="41.42578125" style="80" customWidth="1"/>
    <col min="5891" max="5891" width="15.28515625" style="80" customWidth="1"/>
    <col min="5892" max="5892" width="1.140625" style="80" customWidth="1"/>
    <col min="5893" max="5893" width="1.28515625" style="80" customWidth="1"/>
    <col min="5894" max="5894" width="0.5703125" style="80" customWidth="1"/>
    <col min="5895" max="5895" width="39.85546875" style="80" customWidth="1"/>
    <col min="5896" max="5896" width="15.42578125" style="80" bestFit="1" customWidth="1"/>
    <col min="5897" max="5897" width="1.140625" style="80" customWidth="1"/>
    <col min="5898" max="5898" width="8" style="80"/>
    <col min="5899" max="5899" width="20.140625" style="80" customWidth="1"/>
    <col min="5900" max="6144" width="8" style="80"/>
    <col min="6145" max="6145" width="1.5703125" style="80" customWidth="1"/>
    <col min="6146" max="6146" width="41.42578125" style="80" customWidth="1"/>
    <col min="6147" max="6147" width="15.28515625" style="80" customWidth="1"/>
    <col min="6148" max="6148" width="1.140625" style="80" customWidth="1"/>
    <col min="6149" max="6149" width="1.28515625" style="80" customWidth="1"/>
    <col min="6150" max="6150" width="0.5703125" style="80" customWidth="1"/>
    <col min="6151" max="6151" width="39.85546875" style="80" customWidth="1"/>
    <col min="6152" max="6152" width="15.42578125" style="80" bestFit="1" customWidth="1"/>
    <col min="6153" max="6153" width="1.140625" style="80" customWidth="1"/>
    <col min="6154" max="6154" width="8" style="80"/>
    <col min="6155" max="6155" width="20.140625" style="80" customWidth="1"/>
    <col min="6156" max="6400" width="8" style="80"/>
    <col min="6401" max="6401" width="1.5703125" style="80" customWidth="1"/>
    <col min="6402" max="6402" width="41.42578125" style="80" customWidth="1"/>
    <col min="6403" max="6403" width="15.28515625" style="80" customWidth="1"/>
    <col min="6404" max="6404" width="1.140625" style="80" customWidth="1"/>
    <col min="6405" max="6405" width="1.28515625" style="80" customWidth="1"/>
    <col min="6406" max="6406" width="0.5703125" style="80" customWidth="1"/>
    <col min="6407" max="6407" width="39.85546875" style="80" customWidth="1"/>
    <col min="6408" max="6408" width="15.42578125" style="80" bestFit="1" customWidth="1"/>
    <col min="6409" max="6409" width="1.140625" style="80" customWidth="1"/>
    <col min="6410" max="6410" width="8" style="80"/>
    <col min="6411" max="6411" width="20.140625" style="80" customWidth="1"/>
    <col min="6412" max="6656" width="8" style="80"/>
    <col min="6657" max="6657" width="1.5703125" style="80" customWidth="1"/>
    <col min="6658" max="6658" width="41.42578125" style="80" customWidth="1"/>
    <col min="6659" max="6659" width="15.28515625" style="80" customWidth="1"/>
    <col min="6660" max="6660" width="1.140625" style="80" customWidth="1"/>
    <col min="6661" max="6661" width="1.28515625" style="80" customWidth="1"/>
    <col min="6662" max="6662" width="0.5703125" style="80" customWidth="1"/>
    <col min="6663" max="6663" width="39.85546875" style="80" customWidth="1"/>
    <col min="6664" max="6664" width="15.42578125" style="80" bestFit="1" customWidth="1"/>
    <col min="6665" max="6665" width="1.140625" style="80" customWidth="1"/>
    <col min="6666" max="6666" width="8" style="80"/>
    <col min="6667" max="6667" width="20.140625" style="80" customWidth="1"/>
    <col min="6668" max="6912" width="8" style="80"/>
    <col min="6913" max="6913" width="1.5703125" style="80" customWidth="1"/>
    <col min="6914" max="6914" width="41.42578125" style="80" customWidth="1"/>
    <col min="6915" max="6915" width="15.28515625" style="80" customWidth="1"/>
    <col min="6916" max="6916" width="1.140625" style="80" customWidth="1"/>
    <col min="6917" max="6917" width="1.28515625" style="80" customWidth="1"/>
    <col min="6918" max="6918" width="0.5703125" style="80" customWidth="1"/>
    <col min="6919" max="6919" width="39.85546875" style="80" customWidth="1"/>
    <col min="6920" max="6920" width="15.42578125" style="80" bestFit="1" customWidth="1"/>
    <col min="6921" max="6921" width="1.140625" style="80" customWidth="1"/>
    <col min="6922" max="6922" width="8" style="80"/>
    <col min="6923" max="6923" width="20.140625" style="80" customWidth="1"/>
    <col min="6924" max="7168" width="8" style="80"/>
    <col min="7169" max="7169" width="1.5703125" style="80" customWidth="1"/>
    <col min="7170" max="7170" width="41.42578125" style="80" customWidth="1"/>
    <col min="7171" max="7171" width="15.28515625" style="80" customWidth="1"/>
    <col min="7172" max="7172" width="1.140625" style="80" customWidth="1"/>
    <col min="7173" max="7173" width="1.28515625" style="80" customWidth="1"/>
    <col min="7174" max="7174" width="0.5703125" style="80" customWidth="1"/>
    <col min="7175" max="7175" width="39.85546875" style="80" customWidth="1"/>
    <col min="7176" max="7176" width="15.42578125" style="80" bestFit="1" customWidth="1"/>
    <col min="7177" max="7177" width="1.140625" style="80" customWidth="1"/>
    <col min="7178" max="7178" width="8" style="80"/>
    <col min="7179" max="7179" width="20.140625" style="80" customWidth="1"/>
    <col min="7180" max="7424" width="8" style="80"/>
    <col min="7425" max="7425" width="1.5703125" style="80" customWidth="1"/>
    <col min="7426" max="7426" width="41.42578125" style="80" customWidth="1"/>
    <col min="7427" max="7427" width="15.28515625" style="80" customWidth="1"/>
    <col min="7428" max="7428" width="1.140625" style="80" customWidth="1"/>
    <col min="7429" max="7429" width="1.28515625" style="80" customWidth="1"/>
    <col min="7430" max="7430" width="0.5703125" style="80" customWidth="1"/>
    <col min="7431" max="7431" width="39.85546875" style="80" customWidth="1"/>
    <col min="7432" max="7432" width="15.42578125" style="80" bestFit="1" customWidth="1"/>
    <col min="7433" max="7433" width="1.140625" style="80" customWidth="1"/>
    <col min="7434" max="7434" width="8" style="80"/>
    <col min="7435" max="7435" width="20.140625" style="80" customWidth="1"/>
    <col min="7436" max="7680" width="8" style="80"/>
    <col min="7681" max="7681" width="1.5703125" style="80" customWidth="1"/>
    <col min="7682" max="7682" width="41.42578125" style="80" customWidth="1"/>
    <col min="7683" max="7683" width="15.28515625" style="80" customWidth="1"/>
    <col min="7684" max="7684" width="1.140625" style="80" customWidth="1"/>
    <col min="7685" max="7685" width="1.28515625" style="80" customWidth="1"/>
    <col min="7686" max="7686" width="0.5703125" style="80" customWidth="1"/>
    <col min="7687" max="7687" width="39.85546875" style="80" customWidth="1"/>
    <col min="7688" max="7688" width="15.42578125" style="80" bestFit="1" customWidth="1"/>
    <col min="7689" max="7689" width="1.140625" style="80" customWidth="1"/>
    <col min="7690" max="7690" width="8" style="80"/>
    <col min="7691" max="7691" width="20.140625" style="80" customWidth="1"/>
    <col min="7692" max="7936" width="8" style="80"/>
    <col min="7937" max="7937" width="1.5703125" style="80" customWidth="1"/>
    <col min="7938" max="7938" width="41.42578125" style="80" customWidth="1"/>
    <col min="7939" max="7939" width="15.28515625" style="80" customWidth="1"/>
    <col min="7940" max="7940" width="1.140625" style="80" customWidth="1"/>
    <col min="7941" max="7941" width="1.28515625" style="80" customWidth="1"/>
    <col min="7942" max="7942" width="0.5703125" style="80" customWidth="1"/>
    <col min="7943" max="7943" width="39.85546875" style="80" customWidth="1"/>
    <col min="7944" max="7944" width="15.42578125" style="80" bestFit="1" customWidth="1"/>
    <col min="7945" max="7945" width="1.140625" style="80" customWidth="1"/>
    <col min="7946" max="7946" width="8" style="80"/>
    <col min="7947" max="7947" width="20.140625" style="80" customWidth="1"/>
    <col min="7948" max="8192" width="8" style="80"/>
    <col min="8193" max="8193" width="1.5703125" style="80" customWidth="1"/>
    <col min="8194" max="8194" width="41.42578125" style="80" customWidth="1"/>
    <col min="8195" max="8195" width="15.28515625" style="80" customWidth="1"/>
    <col min="8196" max="8196" width="1.140625" style="80" customWidth="1"/>
    <col min="8197" max="8197" width="1.28515625" style="80" customWidth="1"/>
    <col min="8198" max="8198" width="0.5703125" style="80" customWidth="1"/>
    <col min="8199" max="8199" width="39.85546875" style="80" customWidth="1"/>
    <col min="8200" max="8200" width="15.42578125" style="80" bestFit="1" customWidth="1"/>
    <col min="8201" max="8201" width="1.140625" style="80" customWidth="1"/>
    <col min="8202" max="8202" width="8" style="80"/>
    <col min="8203" max="8203" width="20.140625" style="80" customWidth="1"/>
    <col min="8204" max="8448" width="8" style="80"/>
    <col min="8449" max="8449" width="1.5703125" style="80" customWidth="1"/>
    <col min="8450" max="8450" width="41.42578125" style="80" customWidth="1"/>
    <col min="8451" max="8451" width="15.28515625" style="80" customWidth="1"/>
    <col min="8452" max="8452" width="1.140625" style="80" customWidth="1"/>
    <col min="8453" max="8453" width="1.28515625" style="80" customWidth="1"/>
    <col min="8454" max="8454" width="0.5703125" style="80" customWidth="1"/>
    <col min="8455" max="8455" width="39.85546875" style="80" customWidth="1"/>
    <col min="8456" max="8456" width="15.42578125" style="80" bestFit="1" customWidth="1"/>
    <col min="8457" max="8457" width="1.140625" style="80" customWidth="1"/>
    <col min="8458" max="8458" width="8" style="80"/>
    <col min="8459" max="8459" width="20.140625" style="80" customWidth="1"/>
    <col min="8460" max="8704" width="8" style="80"/>
    <col min="8705" max="8705" width="1.5703125" style="80" customWidth="1"/>
    <col min="8706" max="8706" width="41.42578125" style="80" customWidth="1"/>
    <col min="8707" max="8707" width="15.28515625" style="80" customWidth="1"/>
    <col min="8708" max="8708" width="1.140625" style="80" customWidth="1"/>
    <col min="8709" max="8709" width="1.28515625" style="80" customWidth="1"/>
    <col min="8710" max="8710" width="0.5703125" style="80" customWidth="1"/>
    <col min="8711" max="8711" width="39.85546875" style="80" customWidth="1"/>
    <col min="8712" max="8712" width="15.42578125" style="80" bestFit="1" customWidth="1"/>
    <col min="8713" max="8713" width="1.140625" style="80" customWidth="1"/>
    <col min="8714" max="8714" width="8" style="80"/>
    <col min="8715" max="8715" width="20.140625" style="80" customWidth="1"/>
    <col min="8716" max="8960" width="8" style="80"/>
    <col min="8961" max="8961" width="1.5703125" style="80" customWidth="1"/>
    <col min="8962" max="8962" width="41.42578125" style="80" customWidth="1"/>
    <col min="8963" max="8963" width="15.28515625" style="80" customWidth="1"/>
    <col min="8964" max="8964" width="1.140625" style="80" customWidth="1"/>
    <col min="8965" max="8965" width="1.28515625" style="80" customWidth="1"/>
    <col min="8966" max="8966" width="0.5703125" style="80" customWidth="1"/>
    <col min="8967" max="8967" width="39.85546875" style="80" customWidth="1"/>
    <col min="8968" max="8968" width="15.42578125" style="80" bestFit="1" customWidth="1"/>
    <col min="8969" max="8969" width="1.140625" style="80" customWidth="1"/>
    <col min="8970" max="8970" width="8" style="80"/>
    <col min="8971" max="8971" width="20.140625" style="80" customWidth="1"/>
    <col min="8972" max="9216" width="8" style="80"/>
    <col min="9217" max="9217" width="1.5703125" style="80" customWidth="1"/>
    <col min="9218" max="9218" width="41.42578125" style="80" customWidth="1"/>
    <col min="9219" max="9219" width="15.28515625" style="80" customWidth="1"/>
    <col min="9220" max="9220" width="1.140625" style="80" customWidth="1"/>
    <col min="9221" max="9221" width="1.28515625" style="80" customWidth="1"/>
    <col min="9222" max="9222" width="0.5703125" style="80" customWidth="1"/>
    <col min="9223" max="9223" width="39.85546875" style="80" customWidth="1"/>
    <col min="9224" max="9224" width="15.42578125" style="80" bestFit="1" customWidth="1"/>
    <col min="9225" max="9225" width="1.140625" style="80" customWidth="1"/>
    <col min="9226" max="9226" width="8" style="80"/>
    <col min="9227" max="9227" width="20.140625" style="80" customWidth="1"/>
    <col min="9228" max="9472" width="8" style="80"/>
    <col min="9473" max="9473" width="1.5703125" style="80" customWidth="1"/>
    <col min="9474" max="9474" width="41.42578125" style="80" customWidth="1"/>
    <col min="9475" max="9475" width="15.28515625" style="80" customWidth="1"/>
    <col min="9476" max="9476" width="1.140625" style="80" customWidth="1"/>
    <col min="9477" max="9477" width="1.28515625" style="80" customWidth="1"/>
    <col min="9478" max="9478" width="0.5703125" style="80" customWidth="1"/>
    <col min="9479" max="9479" width="39.85546875" style="80" customWidth="1"/>
    <col min="9480" max="9480" width="15.42578125" style="80" bestFit="1" customWidth="1"/>
    <col min="9481" max="9481" width="1.140625" style="80" customWidth="1"/>
    <col min="9482" max="9482" width="8" style="80"/>
    <col min="9483" max="9483" width="20.140625" style="80" customWidth="1"/>
    <col min="9484" max="9728" width="8" style="80"/>
    <col min="9729" max="9729" width="1.5703125" style="80" customWidth="1"/>
    <col min="9730" max="9730" width="41.42578125" style="80" customWidth="1"/>
    <col min="9731" max="9731" width="15.28515625" style="80" customWidth="1"/>
    <col min="9732" max="9732" width="1.140625" style="80" customWidth="1"/>
    <col min="9733" max="9733" width="1.28515625" style="80" customWidth="1"/>
    <col min="9734" max="9734" width="0.5703125" style="80" customWidth="1"/>
    <col min="9735" max="9735" width="39.85546875" style="80" customWidth="1"/>
    <col min="9736" max="9736" width="15.42578125" style="80" bestFit="1" customWidth="1"/>
    <col min="9737" max="9737" width="1.140625" style="80" customWidth="1"/>
    <col min="9738" max="9738" width="8" style="80"/>
    <col min="9739" max="9739" width="20.140625" style="80" customWidth="1"/>
    <col min="9740" max="9984" width="8" style="80"/>
    <col min="9985" max="9985" width="1.5703125" style="80" customWidth="1"/>
    <col min="9986" max="9986" width="41.42578125" style="80" customWidth="1"/>
    <col min="9987" max="9987" width="15.28515625" style="80" customWidth="1"/>
    <col min="9988" max="9988" width="1.140625" style="80" customWidth="1"/>
    <col min="9989" max="9989" width="1.28515625" style="80" customWidth="1"/>
    <col min="9990" max="9990" width="0.5703125" style="80" customWidth="1"/>
    <col min="9991" max="9991" width="39.85546875" style="80" customWidth="1"/>
    <col min="9992" max="9992" width="15.42578125" style="80" bestFit="1" customWidth="1"/>
    <col min="9993" max="9993" width="1.140625" style="80" customWidth="1"/>
    <col min="9994" max="9994" width="8" style="80"/>
    <col min="9995" max="9995" width="20.140625" style="80" customWidth="1"/>
    <col min="9996" max="10240" width="8" style="80"/>
    <col min="10241" max="10241" width="1.5703125" style="80" customWidth="1"/>
    <col min="10242" max="10242" width="41.42578125" style="80" customWidth="1"/>
    <col min="10243" max="10243" width="15.28515625" style="80" customWidth="1"/>
    <col min="10244" max="10244" width="1.140625" style="80" customWidth="1"/>
    <col min="10245" max="10245" width="1.28515625" style="80" customWidth="1"/>
    <col min="10246" max="10246" width="0.5703125" style="80" customWidth="1"/>
    <col min="10247" max="10247" width="39.85546875" style="80" customWidth="1"/>
    <col min="10248" max="10248" width="15.42578125" style="80" bestFit="1" customWidth="1"/>
    <col min="10249" max="10249" width="1.140625" style="80" customWidth="1"/>
    <col min="10250" max="10250" width="8" style="80"/>
    <col min="10251" max="10251" width="20.140625" style="80" customWidth="1"/>
    <col min="10252" max="10496" width="8" style="80"/>
    <col min="10497" max="10497" width="1.5703125" style="80" customWidth="1"/>
    <col min="10498" max="10498" width="41.42578125" style="80" customWidth="1"/>
    <col min="10499" max="10499" width="15.28515625" style="80" customWidth="1"/>
    <col min="10500" max="10500" width="1.140625" style="80" customWidth="1"/>
    <col min="10501" max="10501" width="1.28515625" style="80" customWidth="1"/>
    <col min="10502" max="10502" width="0.5703125" style="80" customWidth="1"/>
    <col min="10503" max="10503" width="39.85546875" style="80" customWidth="1"/>
    <col min="10504" max="10504" width="15.42578125" style="80" bestFit="1" customWidth="1"/>
    <col min="10505" max="10505" width="1.140625" style="80" customWidth="1"/>
    <col min="10506" max="10506" width="8" style="80"/>
    <col min="10507" max="10507" width="20.140625" style="80" customWidth="1"/>
    <col min="10508" max="10752" width="8" style="80"/>
    <col min="10753" max="10753" width="1.5703125" style="80" customWidth="1"/>
    <col min="10754" max="10754" width="41.42578125" style="80" customWidth="1"/>
    <col min="10755" max="10755" width="15.28515625" style="80" customWidth="1"/>
    <col min="10756" max="10756" width="1.140625" style="80" customWidth="1"/>
    <col min="10757" max="10757" width="1.28515625" style="80" customWidth="1"/>
    <col min="10758" max="10758" width="0.5703125" style="80" customWidth="1"/>
    <col min="10759" max="10759" width="39.85546875" style="80" customWidth="1"/>
    <col min="10760" max="10760" width="15.42578125" style="80" bestFit="1" customWidth="1"/>
    <col min="10761" max="10761" width="1.140625" style="80" customWidth="1"/>
    <col min="10762" max="10762" width="8" style="80"/>
    <col min="10763" max="10763" width="20.140625" style="80" customWidth="1"/>
    <col min="10764" max="11008" width="8" style="80"/>
    <col min="11009" max="11009" width="1.5703125" style="80" customWidth="1"/>
    <col min="11010" max="11010" width="41.42578125" style="80" customWidth="1"/>
    <col min="11011" max="11011" width="15.28515625" style="80" customWidth="1"/>
    <col min="11012" max="11012" width="1.140625" style="80" customWidth="1"/>
    <col min="11013" max="11013" width="1.28515625" style="80" customWidth="1"/>
    <col min="11014" max="11014" width="0.5703125" style="80" customWidth="1"/>
    <col min="11015" max="11015" width="39.85546875" style="80" customWidth="1"/>
    <col min="11016" max="11016" width="15.42578125" style="80" bestFit="1" customWidth="1"/>
    <col min="11017" max="11017" width="1.140625" style="80" customWidth="1"/>
    <col min="11018" max="11018" width="8" style="80"/>
    <col min="11019" max="11019" width="20.140625" style="80" customWidth="1"/>
    <col min="11020" max="11264" width="8" style="80"/>
    <col min="11265" max="11265" width="1.5703125" style="80" customWidth="1"/>
    <col min="11266" max="11266" width="41.42578125" style="80" customWidth="1"/>
    <col min="11267" max="11267" width="15.28515625" style="80" customWidth="1"/>
    <col min="11268" max="11268" width="1.140625" style="80" customWidth="1"/>
    <col min="11269" max="11269" width="1.28515625" style="80" customWidth="1"/>
    <col min="11270" max="11270" width="0.5703125" style="80" customWidth="1"/>
    <col min="11271" max="11271" width="39.85546875" style="80" customWidth="1"/>
    <col min="11272" max="11272" width="15.42578125" style="80" bestFit="1" customWidth="1"/>
    <col min="11273" max="11273" width="1.140625" style="80" customWidth="1"/>
    <col min="11274" max="11274" width="8" style="80"/>
    <col min="11275" max="11275" width="20.140625" style="80" customWidth="1"/>
    <col min="11276" max="11520" width="8" style="80"/>
    <col min="11521" max="11521" width="1.5703125" style="80" customWidth="1"/>
    <col min="11522" max="11522" width="41.42578125" style="80" customWidth="1"/>
    <col min="11523" max="11523" width="15.28515625" style="80" customWidth="1"/>
    <col min="11524" max="11524" width="1.140625" style="80" customWidth="1"/>
    <col min="11525" max="11525" width="1.28515625" style="80" customWidth="1"/>
    <col min="11526" max="11526" width="0.5703125" style="80" customWidth="1"/>
    <col min="11527" max="11527" width="39.85546875" style="80" customWidth="1"/>
    <col min="11528" max="11528" width="15.42578125" style="80" bestFit="1" customWidth="1"/>
    <col min="11529" max="11529" width="1.140625" style="80" customWidth="1"/>
    <col min="11530" max="11530" width="8" style="80"/>
    <col min="11531" max="11531" width="20.140625" style="80" customWidth="1"/>
    <col min="11532" max="11776" width="8" style="80"/>
    <col min="11777" max="11777" width="1.5703125" style="80" customWidth="1"/>
    <col min="11778" max="11778" width="41.42578125" style="80" customWidth="1"/>
    <col min="11779" max="11779" width="15.28515625" style="80" customWidth="1"/>
    <col min="11780" max="11780" width="1.140625" style="80" customWidth="1"/>
    <col min="11781" max="11781" width="1.28515625" style="80" customWidth="1"/>
    <col min="11782" max="11782" width="0.5703125" style="80" customWidth="1"/>
    <col min="11783" max="11783" width="39.85546875" style="80" customWidth="1"/>
    <col min="11784" max="11784" width="15.42578125" style="80" bestFit="1" customWidth="1"/>
    <col min="11785" max="11785" width="1.140625" style="80" customWidth="1"/>
    <col min="11786" max="11786" width="8" style="80"/>
    <col min="11787" max="11787" width="20.140625" style="80" customWidth="1"/>
    <col min="11788" max="12032" width="8" style="80"/>
    <col min="12033" max="12033" width="1.5703125" style="80" customWidth="1"/>
    <col min="12034" max="12034" width="41.42578125" style="80" customWidth="1"/>
    <col min="12035" max="12035" width="15.28515625" style="80" customWidth="1"/>
    <col min="12036" max="12036" width="1.140625" style="80" customWidth="1"/>
    <col min="12037" max="12037" width="1.28515625" style="80" customWidth="1"/>
    <col min="12038" max="12038" width="0.5703125" style="80" customWidth="1"/>
    <col min="12039" max="12039" width="39.85546875" style="80" customWidth="1"/>
    <col min="12040" max="12040" width="15.42578125" style="80" bestFit="1" customWidth="1"/>
    <col min="12041" max="12041" width="1.140625" style="80" customWidth="1"/>
    <col min="12042" max="12042" width="8" style="80"/>
    <col min="12043" max="12043" width="20.140625" style="80" customWidth="1"/>
    <col min="12044" max="12288" width="8" style="80"/>
    <col min="12289" max="12289" width="1.5703125" style="80" customWidth="1"/>
    <col min="12290" max="12290" width="41.42578125" style="80" customWidth="1"/>
    <col min="12291" max="12291" width="15.28515625" style="80" customWidth="1"/>
    <col min="12292" max="12292" width="1.140625" style="80" customWidth="1"/>
    <col min="12293" max="12293" width="1.28515625" style="80" customWidth="1"/>
    <col min="12294" max="12294" width="0.5703125" style="80" customWidth="1"/>
    <col min="12295" max="12295" width="39.85546875" style="80" customWidth="1"/>
    <col min="12296" max="12296" width="15.42578125" style="80" bestFit="1" customWidth="1"/>
    <col min="12297" max="12297" width="1.140625" style="80" customWidth="1"/>
    <col min="12298" max="12298" width="8" style="80"/>
    <col min="12299" max="12299" width="20.140625" style="80" customWidth="1"/>
    <col min="12300" max="12544" width="8" style="80"/>
    <col min="12545" max="12545" width="1.5703125" style="80" customWidth="1"/>
    <col min="12546" max="12546" width="41.42578125" style="80" customWidth="1"/>
    <col min="12547" max="12547" width="15.28515625" style="80" customWidth="1"/>
    <col min="12548" max="12548" width="1.140625" style="80" customWidth="1"/>
    <col min="12549" max="12549" width="1.28515625" style="80" customWidth="1"/>
    <col min="12550" max="12550" width="0.5703125" style="80" customWidth="1"/>
    <col min="12551" max="12551" width="39.85546875" style="80" customWidth="1"/>
    <col min="12552" max="12552" width="15.42578125" style="80" bestFit="1" customWidth="1"/>
    <col min="12553" max="12553" width="1.140625" style="80" customWidth="1"/>
    <col min="12554" max="12554" width="8" style="80"/>
    <col min="12555" max="12555" width="20.140625" style="80" customWidth="1"/>
    <col min="12556" max="12800" width="8" style="80"/>
    <col min="12801" max="12801" width="1.5703125" style="80" customWidth="1"/>
    <col min="12802" max="12802" width="41.42578125" style="80" customWidth="1"/>
    <col min="12803" max="12803" width="15.28515625" style="80" customWidth="1"/>
    <col min="12804" max="12804" width="1.140625" style="80" customWidth="1"/>
    <col min="12805" max="12805" width="1.28515625" style="80" customWidth="1"/>
    <col min="12806" max="12806" width="0.5703125" style="80" customWidth="1"/>
    <col min="12807" max="12807" width="39.85546875" style="80" customWidth="1"/>
    <col min="12808" max="12808" width="15.42578125" style="80" bestFit="1" customWidth="1"/>
    <col min="12809" max="12809" width="1.140625" style="80" customWidth="1"/>
    <col min="12810" max="12810" width="8" style="80"/>
    <col min="12811" max="12811" width="20.140625" style="80" customWidth="1"/>
    <col min="12812" max="13056" width="8" style="80"/>
    <col min="13057" max="13057" width="1.5703125" style="80" customWidth="1"/>
    <col min="13058" max="13058" width="41.42578125" style="80" customWidth="1"/>
    <col min="13059" max="13059" width="15.28515625" style="80" customWidth="1"/>
    <col min="13060" max="13060" width="1.140625" style="80" customWidth="1"/>
    <col min="13061" max="13061" width="1.28515625" style="80" customWidth="1"/>
    <col min="13062" max="13062" width="0.5703125" style="80" customWidth="1"/>
    <col min="13063" max="13063" width="39.85546875" style="80" customWidth="1"/>
    <col min="13064" max="13064" width="15.42578125" style="80" bestFit="1" customWidth="1"/>
    <col min="13065" max="13065" width="1.140625" style="80" customWidth="1"/>
    <col min="13066" max="13066" width="8" style="80"/>
    <col min="13067" max="13067" width="20.140625" style="80" customWidth="1"/>
    <col min="13068" max="13312" width="8" style="80"/>
    <col min="13313" max="13313" width="1.5703125" style="80" customWidth="1"/>
    <col min="13314" max="13314" width="41.42578125" style="80" customWidth="1"/>
    <col min="13315" max="13315" width="15.28515625" style="80" customWidth="1"/>
    <col min="13316" max="13316" width="1.140625" style="80" customWidth="1"/>
    <col min="13317" max="13317" width="1.28515625" style="80" customWidth="1"/>
    <col min="13318" max="13318" width="0.5703125" style="80" customWidth="1"/>
    <col min="13319" max="13319" width="39.85546875" style="80" customWidth="1"/>
    <col min="13320" max="13320" width="15.42578125" style="80" bestFit="1" customWidth="1"/>
    <col min="13321" max="13321" width="1.140625" style="80" customWidth="1"/>
    <col min="13322" max="13322" width="8" style="80"/>
    <col min="13323" max="13323" width="20.140625" style="80" customWidth="1"/>
    <col min="13324" max="13568" width="8" style="80"/>
    <col min="13569" max="13569" width="1.5703125" style="80" customWidth="1"/>
    <col min="13570" max="13570" width="41.42578125" style="80" customWidth="1"/>
    <col min="13571" max="13571" width="15.28515625" style="80" customWidth="1"/>
    <col min="13572" max="13572" width="1.140625" style="80" customWidth="1"/>
    <col min="13573" max="13573" width="1.28515625" style="80" customWidth="1"/>
    <col min="13574" max="13574" width="0.5703125" style="80" customWidth="1"/>
    <col min="13575" max="13575" width="39.85546875" style="80" customWidth="1"/>
    <col min="13576" max="13576" width="15.42578125" style="80" bestFit="1" customWidth="1"/>
    <col min="13577" max="13577" width="1.140625" style="80" customWidth="1"/>
    <col min="13578" max="13578" width="8" style="80"/>
    <col min="13579" max="13579" width="20.140625" style="80" customWidth="1"/>
    <col min="13580" max="13824" width="8" style="80"/>
    <col min="13825" max="13825" width="1.5703125" style="80" customWidth="1"/>
    <col min="13826" max="13826" width="41.42578125" style="80" customWidth="1"/>
    <col min="13827" max="13827" width="15.28515625" style="80" customWidth="1"/>
    <col min="13828" max="13828" width="1.140625" style="80" customWidth="1"/>
    <col min="13829" max="13829" width="1.28515625" style="80" customWidth="1"/>
    <col min="13830" max="13830" width="0.5703125" style="80" customWidth="1"/>
    <col min="13831" max="13831" width="39.85546875" style="80" customWidth="1"/>
    <col min="13832" max="13832" width="15.42578125" style="80" bestFit="1" customWidth="1"/>
    <col min="13833" max="13833" width="1.140625" style="80" customWidth="1"/>
    <col min="13834" max="13834" width="8" style="80"/>
    <col min="13835" max="13835" width="20.140625" style="80" customWidth="1"/>
    <col min="13836" max="14080" width="8" style="80"/>
    <col min="14081" max="14081" width="1.5703125" style="80" customWidth="1"/>
    <col min="14082" max="14082" width="41.42578125" style="80" customWidth="1"/>
    <col min="14083" max="14083" width="15.28515625" style="80" customWidth="1"/>
    <col min="14084" max="14084" width="1.140625" style="80" customWidth="1"/>
    <col min="14085" max="14085" width="1.28515625" style="80" customWidth="1"/>
    <col min="14086" max="14086" width="0.5703125" style="80" customWidth="1"/>
    <col min="14087" max="14087" width="39.85546875" style="80" customWidth="1"/>
    <col min="14088" max="14088" width="15.42578125" style="80" bestFit="1" customWidth="1"/>
    <col min="14089" max="14089" width="1.140625" style="80" customWidth="1"/>
    <col min="14090" max="14090" width="8" style="80"/>
    <col min="14091" max="14091" width="20.140625" style="80" customWidth="1"/>
    <col min="14092" max="14336" width="8" style="80"/>
    <col min="14337" max="14337" width="1.5703125" style="80" customWidth="1"/>
    <col min="14338" max="14338" width="41.42578125" style="80" customWidth="1"/>
    <col min="14339" max="14339" width="15.28515625" style="80" customWidth="1"/>
    <col min="14340" max="14340" width="1.140625" style="80" customWidth="1"/>
    <col min="14341" max="14341" width="1.28515625" style="80" customWidth="1"/>
    <col min="14342" max="14342" width="0.5703125" style="80" customWidth="1"/>
    <col min="14343" max="14343" width="39.85546875" style="80" customWidth="1"/>
    <col min="14344" max="14344" width="15.42578125" style="80" bestFit="1" customWidth="1"/>
    <col min="14345" max="14345" width="1.140625" style="80" customWidth="1"/>
    <col min="14346" max="14346" width="8" style="80"/>
    <col min="14347" max="14347" width="20.140625" style="80" customWidth="1"/>
    <col min="14348" max="14592" width="8" style="80"/>
    <col min="14593" max="14593" width="1.5703125" style="80" customWidth="1"/>
    <col min="14594" max="14594" width="41.42578125" style="80" customWidth="1"/>
    <col min="14595" max="14595" width="15.28515625" style="80" customWidth="1"/>
    <col min="14596" max="14596" width="1.140625" style="80" customWidth="1"/>
    <col min="14597" max="14597" width="1.28515625" style="80" customWidth="1"/>
    <col min="14598" max="14598" width="0.5703125" style="80" customWidth="1"/>
    <col min="14599" max="14599" width="39.85546875" style="80" customWidth="1"/>
    <col min="14600" max="14600" width="15.42578125" style="80" bestFit="1" customWidth="1"/>
    <col min="14601" max="14601" width="1.140625" style="80" customWidth="1"/>
    <col min="14602" max="14602" width="8" style="80"/>
    <col min="14603" max="14603" width="20.140625" style="80" customWidth="1"/>
    <col min="14604" max="14848" width="8" style="80"/>
    <col min="14849" max="14849" width="1.5703125" style="80" customWidth="1"/>
    <col min="14850" max="14850" width="41.42578125" style="80" customWidth="1"/>
    <col min="14851" max="14851" width="15.28515625" style="80" customWidth="1"/>
    <col min="14852" max="14852" width="1.140625" style="80" customWidth="1"/>
    <col min="14853" max="14853" width="1.28515625" style="80" customWidth="1"/>
    <col min="14854" max="14854" width="0.5703125" style="80" customWidth="1"/>
    <col min="14855" max="14855" width="39.85546875" style="80" customWidth="1"/>
    <col min="14856" max="14856" width="15.42578125" style="80" bestFit="1" customWidth="1"/>
    <col min="14857" max="14857" width="1.140625" style="80" customWidth="1"/>
    <col min="14858" max="14858" width="8" style="80"/>
    <col min="14859" max="14859" width="20.140625" style="80" customWidth="1"/>
    <col min="14860" max="15104" width="8" style="80"/>
    <col min="15105" max="15105" width="1.5703125" style="80" customWidth="1"/>
    <col min="15106" max="15106" width="41.42578125" style="80" customWidth="1"/>
    <col min="15107" max="15107" width="15.28515625" style="80" customWidth="1"/>
    <col min="15108" max="15108" width="1.140625" style="80" customWidth="1"/>
    <col min="15109" max="15109" width="1.28515625" style="80" customWidth="1"/>
    <col min="15110" max="15110" width="0.5703125" style="80" customWidth="1"/>
    <col min="15111" max="15111" width="39.85546875" style="80" customWidth="1"/>
    <col min="15112" max="15112" width="15.42578125" style="80" bestFit="1" customWidth="1"/>
    <col min="15113" max="15113" width="1.140625" style="80" customWidth="1"/>
    <col min="15114" max="15114" width="8" style="80"/>
    <col min="15115" max="15115" width="20.140625" style="80" customWidth="1"/>
    <col min="15116" max="15360" width="8" style="80"/>
    <col min="15361" max="15361" width="1.5703125" style="80" customWidth="1"/>
    <col min="15362" max="15362" width="41.42578125" style="80" customWidth="1"/>
    <col min="15363" max="15363" width="15.28515625" style="80" customWidth="1"/>
    <col min="15364" max="15364" width="1.140625" style="80" customWidth="1"/>
    <col min="15365" max="15365" width="1.28515625" style="80" customWidth="1"/>
    <col min="15366" max="15366" width="0.5703125" style="80" customWidth="1"/>
    <col min="15367" max="15367" width="39.85546875" style="80" customWidth="1"/>
    <col min="15368" max="15368" width="15.42578125" style="80" bestFit="1" customWidth="1"/>
    <col min="15369" max="15369" width="1.140625" style="80" customWidth="1"/>
    <col min="15370" max="15370" width="8" style="80"/>
    <col min="15371" max="15371" width="20.140625" style="80" customWidth="1"/>
    <col min="15372" max="15616" width="8" style="80"/>
    <col min="15617" max="15617" width="1.5703125" style="80" customWidth="1"/>
    <col min="15618" max="15618" width="41.42578125" style="80" customWidth="1"/>
    <col min="15619" max="15619" width="15.28515625" style="80" customWidth="1"/>
    <col min="15620" max="15620" width="1.140625" style="80" customWidth="1"/>
    <col min="15621" max="15621" width="1.28515625" style="80" customWidth="1"/>
    <col min="15622" max="15622" width="0.5703125" style="80" customWidth="1"/>
    <col min="15623" max="15623" width="39.85546875" style="80" customWidth="1"/>
    <col min="15624" max="15624" width="15.42578125" style="80" bestFit="1" customWidth="1"/>
    <col min="15625" max="15625" width="1.140625" style="80" customWidth="1"/>
    <col min="15626" max="15626" width="8" style="80"/>
    <col min="15627" max="15627" width="20.140625" style="80" customWidth="1"/>
    <col min="15628" max="15872" width="8" style="80"/>
    <col min="15873" max="15873" width="1.5703125" style="80" customWidth="1"/>
    <col min="15874" max="15874" width="41.42578125" style="80" customWidth="1"/>
    <col min="15875" max="15875" width="15.28515625" style="80" customWidth="1"/>
    <col min="15876" max="15876" width="1.140625" style="80" customWidth="1"/>
    <col min="15877" max="15877" width="1.28515625" style="80" customWidth="1"/>
    <col min="15878" max="15878" width="0.5703125" style="80" customWidth="1"/>
    <col min="15879" max="15879" width="39.85546875" style="80" customWidth="1"/>
    <col min="15880" max="15880" width="15.42578125" style="80" bestFit="1" customWidth="1"/>
    <col min="15881" max="15881" width="1.140625" style="80" customWidth="1"/>
    <col min="15882" max="15882" width="8" style="80"/>
    <col min="15883" max="15883" width="20.140625" style="80" customWidth="1"/>
    <col min="15884" max="16128" width="8" style="80"/>
    <col min="16129" max="16129" width="1.5703125" style="80" customWidth="1"/>
    <col min="16130" max="16130" width="41.42578125" style="80" customWidth="1"/>
    <col min="16131" max="16131" width="15.28515625" style="80" customWidth="1"/>
    <col min="16132" max="16132" width="1.140625" style="80" customWidth="1"/>
    <col min="16133" max="16133" width="1.28515625" style="80" customWidth="1"/>
    <col min="16134" max="16134" width="0.5703125" style="80" customWidth="1"/>
    <col min="16135" max="16135" width="39.85546875" style="80" customWidth="1"/>
    <col min="16136" max="16136" width="15.42578125" style="80" bestFit="1" customWidth="1"/>
    <col min="16137" max="16137" width="1.140625" style="80" customWidth="1"/>
    <col min="16138" max="16138" width="8" style="80"/>
    <col min="16139" max="16139" width="20.140625" style="80" customWidth="1"/>
    <col min="16140" max="16384" width="8" style="80"/>
  </cols>
  <sheetData>
    <row r="1" spans="1:11" ht="13.5" thickBot="1">
      <c r="A1" s="603" t="s">
        <v>570</v>
      </c>
      <c r="B1" s="604"/>
      <c r="C1" s="604"/>
      <c r="D1" s="604"/>
      <c r="E1" s="604"/>
      <c r="F1" s="604"/>
      <c r="G1" s="604"/>
      <c r="H1" s="605"/>
      <c r="I1" s="79"/>
    </row>
    <row r="2" spans="1:11" ht="13.5" thickTop="1">
      <c r="A2" s="606" t="s">
        <v>418</v>
      </c>
      <c r="B2" s="607"/>
      <c r="C2" s="607"/>
      <c r="D2" s="607"/>
      <c r="E2" s="607"/>
      <c r="F2" s="607"/>
      <c r="G2" s="607"/>
      <c r="H2" s="608"/>
      <c r="I2" s="81"/>
    </row>
    <row r="3" spans="1:11">
      <c r="A3" s="609" t="s">
        <v>572</v>
      </c>
      <c r="B3" s="610"/>
      <c r="C3" s="610"/>
      <c r="D3" s="610"/>
      <c r="E3" s="610"/>
      <c r="F3" s="610"/>
      <c r="G3" s="610"/>
      <c r="H3" s="611"/>
      <c r="I3" s="82"/>
    </row>
    <row r="4" spans="1:11">
      <c r="A4" s="83"/>
      <c r="B4" s="84"/>
      <c r="C4" s="150"/>
      <c r="D4" s="84"/>
      <c r="E4" s="84"/>
      <c r="F4" s="84"/>
      <c r="G4" s="84"/>
      <c r="H4" s="382"/>
      <c r="I4" s="82"/>
    </row>
    <row r="5" spans="1:11" ht="15">
      <c r="A5" s="85"/>
      <c r="B5" s="86" t="s">
        <v>185</v>
      </c>
      <c r="C5" s="151"/>
      <c r="D5" s="87"/>
      <c r="E5" s="88"/>
      <c r="F5" s="85"/>
      <c r="G5" s="86" t="s">
        <v>378</v>
      </c>
      <c r="H5" s="87"/>
      <c r="I5" s="82"/>
    </row>
    <row r="6" spans="1:11" ht="15">
      <c r="A6" s="89"/>
      <c r="B6" s="90"/>
      <c r="C6" s="152"/>
      <c r="D6" s="91"/>
      <c r="E6" s="92"/>
      <c r="F6" s="89"/>
      <c r="G6" s="93"/>
      <c r="H6" s="97"/>
      <c r="I6" s="95"/>
    </row>
    <row r="7" spans="1:11">
      <c r="A7" s="96"/>
      <c r="B7" s="92" t="s">
        <v>362</v>
      </c>
      <c r="C7" s="149">
        <f>'STATEMENT 1'!G33</f>
        <v>671536098866.66992</v>
      </c>
      <c r="D7" s="97"/>
      <c r="E7" s="94"/>
      <c r="F7" s="98"/>
      <c r="G7" s="92" t="s">
        <v>419</v>
      </c>
      <c r="H7" s="383">
        <v>336520751000</v>
      </c>
      <c r="I7" s="81"/>
      <c r="K7" s="99"/>
    </row>
    <row r="8" spans="1:11">
      <c r="A8" s="96"/>
      <c r="B8" s="92" t="s">
        <v>363</v>
      </c>
      <c r="C8" s="149">
        <f>'STATEMENT 1'!G36</f>
        <v>65398700000.110001</v>
      </c>
      <c r="D8" s="97"/>
      <c r="E8" s="94"/>
      <c r="F8" s="98"/>
      <c r="G8" s="92" t="s">
        <v>420</v>
      </c>
      <c r="H8" s="383">
        <f>'STATEMENT 3'!I51-'STATEMENT 4'!H7</f>
        <v>510415362000</v>
      </c>
      <c r="I8" s="81"/>
      <c r="K8" s="99"/>
    </row>
    <row r="9" spans="1:11">
      <c r="A9" s="96"/>
      <c r="B9" s="92" t="s">
        <v>415</v>
      </c>
      <c r="C9" s="149">
        <f>'STATEMENT 1'!G53</f>
        <v>4908300000</v>
      </c>
      <c r="D9" s="97"/>
      <c r="E9" s="94"/>
      <c r="F9" s="98"/>
      <c r="G9" s="92"/>
      <c r="H9" s="97"/>
      <c r="I9" s="81"/>
    </row>
    <row r="10" spans="1:11">
      <c r="A10" s="96"/>
      <c r="B10" s="92"/>
      <c r="C10" s="149"/>
      <c r="D10" s="97"/>
      <c r="E10" s="94"/>
      <c r="F10" s="98"/>
      <c r="G10" s="92"/>
      <c r="H10" s="97"/>
      <c r="I10" s="81"/>
    </row>
    <row r="11" spans="1:11" ht="13.5" thickBot="1">
      <c r="A11" s="96"/>
      <c r="B11" s="100" t="s">
        <v>188</v>
      </c>
      <c r="C11" s="153">
        <f>SUM(C7:C10)</f>
        <v>741843098866.77991</v>
      </c>
      <c r="D11" s="101"/>
      <c r="E11" s="94"/>
      <c r="F11" s="98"/>
      <c r="G11" s="100" t="s">
        <v>188</v>
      </c>
      <c r="H11" s="384">
        <f>H7+H8</f>
        <v>846936113000</v>
      </c>
      <c r="I11" s="81"/>
    </row>
    <row r="12" spans="1:11" ht="13.5" thickTop="1">
      <c r="A12" s="96"/>
      <c r="B12" s="92"/>
      <c r="C12" s="149"/>
      <c r="D12" s="97"/>
      <c r="E12" s="94"/>
      <c r="F12" s="98"/>
      <c r="G12" s="92"/>
      <c r="H12" s="97"/>
      <c r="I12" s="81"/>
    </row>
    <row r="13" spans="1:11">
      <c r="A13" s="96"/>
      <c r="B13" s="92"/>
      <c r="C13" s="149"/>
      <c r="D13" s="97"/>
      <c r="E13" s="94"/>
      <c r="F13" s="98"/>
      <c r="G13" s="92"/>
      <c r="H13" s="97"/>
      <c r="I13" s="81"/>
    </row>
    <row r="14" spans="1:11">
      <c r="A14" s="96"/>
      <c r="B14" s="92" t="s">
        <v>186</v>
      </c>
      <c r="C14" s="461">
        <v>33991600000</v>
      </c>
      <c r="D14" s="97"/>
      <c r="E14" s="94"/>
      <c r="F14" s="98"/>
      <c r="G14" s="92"/>
      <c r="H14" s="97"/>
      <c r="I14" s="81"/>
    </row>
    <row r="15" spans="1:11">
      <c r="A15" s="96"/>
      <c r="B15" s="462" t="s">
        <v>694</v>
      </c>
      <c r="C15" s="461">
        <v>6459981000</v>
      </c>
      <c r="D15" s="97"/>
      <c r="E15" s="94"/>
      <c r="F15" s="98"/>
      <c r="G15" s="92"/>
      <c r="H15" s="97"/>
      <c r="I15" s="81"/>
    </row>
    <row r="16" spans="1:11">
      <c r="A16" s="96"/>
      <c r="B16" s="462"/>
      <c r="C16" s="461"/>
      <c r="D16" s="97"/>
      <c r="E16" s="94"/>
      <c r="F16" s="98"/>
      <c r="G16" s="92"/>
      <c r="H16" s="97"/>
      <c r="I16" s="81"/>
    </row>
    <row r="17" spans="1:11">
      <c r="A17" s="96"/>
      <c r="B17" s="100" t="s">
        <v>421</v>
      </c>
      <c r="C17" s="149"/>
      <c r="D17" s="97"/>
      <c r="E17" s="94"/>
      <c r="F17" s="98"/>
      <c r="G17" s="102" t="s">
        <v>561</v>
      </c>
      <c r="H17" s="97"/>
      <c r="I17" s="81"/>
    </row>
    <row r="18" spans="1:11">
      <c r="A18" s="96"/>
      <c r="C18" s="154"/>
      <c r="D18" s="104"/>
      <c r="E18" s="103"/>
      <c r="F18" s="105"/>
      <c r="G18" s="92"/>
      <c r="H18" s="97"/>
      <c r="I18" s="81"/>
    </row>
    <row r="19" spans="1:11">
      <c r="A19" s="96"/>
      <c r="B19" s="100" t="s">
        <v>422</v>
      </c>
      <c r="C19" s="155"/>
      <c r="D19" s="101"/>
      <c r="E19" s="106"/>
      <c r="F19" s="107"/>
      <c r="G19" s="92" t="s">
        <v>419</v>
      </c>
      <c r="H19" s="383"/>
      <c r="I19" s="81"/>
      <c r="K19" s="94"/>
    </row>
    <row r="20" spans="1:11">
      <c r="A20" s="96"/>
      <c r="C20" s="149"/>
      <c r="D20" s="81"/>
      <c r="E20" s="94"/>
      <c r="F20" s="98"/>
      <c r="G20" s="92" t="s">
        <v>420</v>
      </c>
      <c r="H20" s="97">
        <f>'STATEMENT 3'!I87</f>
        <v>65067327000</v>
      </c>
      <c r="I20" s="81"/>
    </row>
    <row r="21" spans="1:11">
      <c r="A21" s="108"/>
      <c r="B21" s="80" t="s">
        <v>423</v>
      </c>
      <c r="C21" s="149">
        <f>'STATEMENT 2'!J493</f>
        <v>32082500000</v>
      </c>
      <c r="D21" s="97"/>
      <c r="E21" s="94"/>
      <c r="F21" s="98"/>
      <c r="G21" s="109"/>
      <c r="H21" s="97"/>
      <c r="I21" s="81"/>
      <c r="K21" s="94"/>
    </row>
    <row r="22" spans="1:11">
      <c r="A22" s="96"/>
      <c r="B22" s="80" t="s">
        <v>424</v>
      </c>
      <c r="C22" s="149">
        <f>'STATEMENT 2'!J507</f>
        <v>0</v>
      </c>
      <c r="D22" s="97"/>
      <c r="E22" s="94"/>
      <c r="F22" s="98"/>
      <c r="H22" s="81"/>
      <c r="I22" s="81"/>
    </row>
    <row r="23" spans="1:11">
      <c r="A23" s="96"/>
      <c r="B23" s="92" t="s">
        <v>425</v>
      </c>
      <c r="C23" s="149"/>
      <c r="D23" s="110"/>
      <c r="E23" s="94"/>
      <c r="F23" s="98"/>
      <c r="G23" s="92"/>
      <c r="H23" s="97"/>
      <c r="I23" s="81"/>
    </row>
    <row r="24" spans="1:11">
      <c r="A24" s="96"/>
      <c r="B24" s="92"/>
      <c r="C24" s="149"/>
      <c r="D24" s="110"/>
      <c r="E24" s="94"/>
      <c r="F24" s="98"/>
      <c r="G24" s="92"/>
      <c r="H24" s="97"/>
      <c r="I24" s="81"/>
    </row>
    <row r="25" spans="1:11">
      <c r="A25" s="96"/>
      <c r="B25" s="111" t="s">
        <v>408</v>
      </c>
      <c r="C25" s="155">
        <f>SUM(C21:C24)</f>
        <v>32082500000</v>
      </c>
      <c r="D25" s="101"/>
      <c r="E25" s="94"/>
      <c r="F25" s="98"/>
      <c r="G25" s="92"/>
      <c r="H25" s="97"/>
      <c r="I25" s="81"/>
    </row>
    <row r="26" spans="1:11">
      <c r="A26" s="96"/>
      <c r="C26" s="149"/>
      <c r="D26" s="81"/>
      <c r="E26" s="106"/>
      <c r="F26" s="107"/>
      <c r="G26" s="100"/>
      <c r="H26" s="101"/>
      <c r="I26" s="81"/>
    </row>
    <row r="27" spans="1:11">
      <c r="A27" s="96"/>
      <c r="B27" s="100" t="s">
        <v>426</v>
      </c>
      <c r="C27" s="155">
        <f>'STATEMENT 2'!J513</f>
        <v>92047600000</v>
      </c>
      <c r="D27" s="101"/>
      <c r="E27" s="94"/>
      <c r="F27" s="98"/>
      <c r="H27" s="97"/>
      <c r="I27" s="81"/>
    </row>
    <row r="28" spans="1:11">
      <c r="A28" s="96"/>
      <c r="C28" s="149"/>
      <c r="D28" s="81"/>
      <c r="E28" s="106"/>
      <c r="F28" s="107"/>
      <c r="G28" s="92"/>
      <c r="H28" s="97"/>
      <c r="I28" s="81"/>
    </row>
    <row r="29" spans="1:11">
      <c r="A29" s="96"/>
      <c r="B29" s="100" t="s">
        <v>565</v>
      </c>
      <c r="C29" s="155">
        <f>C25+C27</f>
        <v>124130100000</v>
      </c>
      <c r="D29" s="101"/>
      <c r="E29" s="94"/>
      <c r="F29" s="98"/>
      <c r="H29" s="97"/>
      <c r="I29" s="81"/>
    </row>
    <row r="30" spans="1:11">
      <c r="A30" s="96"/>
      <c r="C30" s="149"/>
      <c r="D30" s="81"/>
      <c r="E30" s="106"/>
      <c r="F30" s="107"/>
      <c r="H30" s="81"/>
      <c r="I30" s="81"/>
    </row>
    <row r="31" spans="1:11">
      <c r="A31" s="96"/>
      <c r="B31" s="437" t="s">
        <v>676</v>
      </c>
      <c r="C31" s="461">
        <f>5578660130+3.22</f>
        <v>5578660133.2200003</v>
      </c>
      <c r="D31" s="113"/>
      <c r="E31" s="112"/>
      <c r="F31" s="114"/>
      <c r="H31" s="81"/>
      <c r="I31" s="81"/>
    </row>
    <row r="32" spans="1:11">
      <c r="A32" s="96"/>
      <c r="C32" s="149"/>
      <c r="D32" s="113"/>
      <c r="E32" s="112"/>
      <c r="F32" s="114"/>
      <c r="H32" s="81"/>
      <c r="I32" s="81"/>
    </row>
    <row r="33" spans="1:11">
      <c r="A33" s="96"/>
      <c r="C33" s="149"/>
      <c r="D33" s="113"/>
      <c r="E33" s="112"/>
      <c r="F33" s="114"/>
      <c r="H33" s="81"/>
      <c r="I33" s="81"/>
    </row>
    <row r="34" spans="1:11">
      <c r="A34" s="96"/>
      <c r="C34" s="149"/>
      <c r="D34" s="113"/>
      <c r="E34" s="112"/>
      <c r="F34" s="114"/>
      <c r="H34" s="81"/>
      <c r="I34" s="81"/>
    </row>
    <row r="35" spans="1:11">
      <c r="A35" s="96"/>
      <c r="C35" s="149"/>
      <c r="D35" s="113"/>
      <c r="E35" s="112"/>
      <c r="F35" s="114"/>
      <c r="H35" s="81"/>
      <c r="I35" s="81"/>
    </row>
    <row r="36" spans="1:11">
      <c r="A36" s="96"/>
      <c r="C36" s="149"/>
      <c r="D36" s="113"/>
      <c r="E36" s="112"/>
      <c r="F36" s="114"/>
      <c r="H36" s="81"/>
      <c r="I36" s="81"/>
    </row>
    <row r="37" spans="1:11">
      <c r="A37" s="96"/>
      <c r="C37" s="149"/>
      <c r="D37" s="113"/>
      <c r="E37" s="112"/>
      <c r="F37" s="114"/>
      <c r="H37" s="81"/>
      <c r="I37" s="81"/>
    </row>
    <row r="38" spans="1:11">
      <c r="A38" s="96"/>
      <c r="C38" s="149"/>
      <c r="D38" s="113"/>
      <c r="E38" s="112"/>
      <c r="F38" s="114"/>
      <c r="H38" s="81"/>
      <c r="I38" s="81"/>
    </row>
    <row r="39" spans="1:11">
      <c r="A39" s="96"/>
      <c r="C39" s="149"/>
      <c r="D39" s="113"/>
      <c r="E39" s="112"/>
      <c r="F39" s="114"/>
      <c r="H39" s="81"/>
      <c r="I39" s="81"/>
    </row>
    <row r="40" spans="1:11">
      <c r="A40" s="96"/>
      <c r="C40" s="149"/>
      <c r="D40" s="113"/>
      <c r="E40" s="112"/>
      <c r="F40" s="114"/>
      <c r="H40" s="81"/>
      <c r="I40" s="81"/>
    </row>
    <row r="41" spans="1:11">
      <c r="A41" s="96"/>
      <c r="C41" s="149"/>
      <c r="D41" s="113"/>
      <c r="E41" s="112"/>
      <c r="F41" s="114"/>
      <c r="H41" s="81"/>
      <c r="I41" s="81"/>
    </row>
    <row r="42" spans="1:11">
      <c r="A42" s="96"/>
      <c r="C42" s="149"/>
      <c r="D42" s="113"/>
      <c r="E42" s="112"/>
      <c r="F42" s="114"/>
      <c r="H42" s="81"/>
      <c r="I42" s="81"/>
    </row>
    <row r="43" spans="1:11">
      <c r="A43" s="96"/>
      <c r="C43" s="149"/>
      <c r="D43" s="113"/>
      <c r="E43" s="112"/>
      <c r="F43" s="114"/>
      <c r="H43" s="81"/>
      <c r="I43" s="81"/>
    </row>
    <row r="44" spans="1:11">
      <c r="A44" s="96"/>
      <c r="C44" s="149"/>
      <c r="D44" s="113"/>
      <c r="E44" s="112"/>
      <c r="F44" s="114"/>
      <c r="H44" s="81"/>
      <c r="I44" s="81"/>
    </row>
    <row r="45" spans="1:11">
      <c r="A45" s="96"/>
      <c r="C45" s="149"/>
      <c r="D45" s="113"/>
      <c r="E45" s="112"/>
      <c r="F45" s="114"/>
      <c r="H45" s="81"/>
      <c r="I45" s="81"/>
    </row>
    <row r="46" spans="1:11">
      <c r="A46" s="96"/>
      <c r="C46" s="149"/>
      <c r="D46" s="113"/>
      <c r="E46" s="112"/>
      <c r="F46" s="114"/>
      <c r="H46" s="81"/>
      <c r="I46" s="81"/>
    </row>
    <row r="47" spans="1:11">
      <c r="A47" s="96"/>
      <c r="C47" s="149"/>
      <c r="D47" s="113"/>
      <c r="E47" s="112"/>
      <c r="F47" s="114"/>
      <c r="H47" s="81"/>
      <c r="I47" s="81"/>
    </row>
    <row r="48" spans="1:11">
      <c r="A48" s="96"/>
      <c r="C48" s="149"/>
      <c r="D48" s="113"/>
      <c r="E48" s="112"/>
      <c r="F48" s="114"/>
      <c r="H48" s="81"/>
      <c r="I48" s="81"/>
      <c r="K48" s="621">
        <v>912003440000</v>
      </c>
    </row>
    <row r="49" spans="1:9" ht="13.5" thickBot="1">
      <c r="A49" s="96"/>
      <c r="B49" s="100" t="s">
        <v>188</v>
      </c>
      <c r="C49" s="153">
        <f>C29+C14+C15+C11+C31</f>
        <v>912003439999.99988</v>
      </c>
      <c r="D49" s="101"/>
      <c r="E49" s="112"/>
      <c r="F49" s="114"/>
      <c r="G49" s="100" t="s">
        <v>188</v>
      </c>
      <c r="H49" s="384">
        <f>H19+H20+H21+H11</f>
        <v>912003440000</v>
      </c>
      <c r="I49" s="81"/>
    </row>
    <row r="50" spans="1:9" ht="13.5" thickTop="1">
      <c r="A50" s="115"/>
      <c r="B50" s="116"/>
      <c r="C50" s="156"/>
      <c r="D50" s="117"/>
      <c r="E50" s="116"/>
      <c r="F50" s="115"/>
      <c r="G50" s="116"/>
      <c r="H50" s="117"/>
      <c r="I50" s="117"/>
    </row>
  </sheetData>
  <mergeCells count="3">
    <mergeCell ref="A1:H1"/>
    <mergeCell ref="A2:H2"/>
    <mergeCell ref="A3:H3"/>
  </mergeCells>
  <printOptions horizontalCentered="1"/>
  <pageMargins left="0.15748031496062992" right="0.15748031496062992" top="0.51181102362204722" bottom="0.55118110236220474" header="0.31496062992125984" footer="0.31496062992125984"/>
  <pageSetup scale="75" firstPageNumber="15" orientation="portrait" useFirstPageNumber="1" r:id="rId1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45"/>
  <sheetViews>
    <sheetView topLeftCell="B74" zoomScaleNormal="100" workbookViewId="0">
      <selection activeCell="L12" sqref="L12"/>
    </sheetView>
  </sheetViews>
  <sheetFormatPr defaultColWidth="9.140625" defaultRowHeight="12.75"/>
  <cols>
    <col min="1" max="1" width="9" style="430" customWidth="1"/>
    <col min="2" max="2" width="1.140625" style="385" customWidth="1"/>
    <col min="3" max="3" width="30" style="385" customWidth="1"/>
    <col min="4" max="4" width="0.85546875" style="388" customWidth="1"/>
    <col min="5" max="5" width="0.85546875" style="385" customWidth="1"/>
    <col min="6" max="6" width="34.42578125" style="385" customWidth="1"/>
    <col min="7" max="7" width="2.85546875" style="388" customWidth="1"/>
    <col min="8" max="8" width="1.42578125" style="385" customWidth="1"/>
    <col min="9" max="9" width="19.42578125" style="387" bestFit="1" customWidth="1"/>
    <col min="10" max="10" width="0.85546875" style="388" customWidth="1"/>
    <col min="11" max="11" width="0.85546875" style="385" customWidth="1"/>
    <col min="12" max="12" width="29.5703125" style="385" customWidth="1"/>
    <col min="13" max="13" width="1.5703125" style="388" customWidth="1"/>
    <col min="14" max="14" width="9.140625" style="385"/>
    <col min="15" max="15" width="12" style="385" bestFit="1" customWidth="1"/>
    <col min="16" max="16" width="13.85546875" style="385" bestFit="1" customWidth="1"/>
    <col min="17" max="17" width="9.140625" style="385"/>
    <col min="18" max="18" width="14.140625" style="385" bestFit="1" customWidth="1"/>
    <col min="19" max="255" width="9.140625" style="385"/>
    <col min="256" max="256" width="9" style="385" customWidth="1"/>
    <col min="257" max="257" width="1.140625" style="385" customWidth="1"/>
    <col min="258" max="258" width="23.5703125" style="385" customWidth="1"/>
    <col min="259" max="260" width="0.85546875" style="385" customWidth="1"/>
    <col min="261" max="261" width="33" style="385" customWidth="1"/>
    <col min="262" max="263" width="0.85546875" style="385" customWidth="1"/>
    <col min="264" max="264" width="15.140625" style="385" bestFit="1" customWidth="1"/>
    <col min="265" max="266" width="0.85546875" style="385" customWidth="1"/>
    <col min="267" max="267" width="29.5703125" style="385" customWidth="1"/>
    <col min="268" max="268" width="1.5703125" style="385" customWidth="1"/>
    <col min="269" max="271" width="9.140625" style="385"/>
    <col min="272" max="272" width="13.85546875" style="385" bestFit="1" customWidth="1"/>
    <col min="273" max="273" width="9.140625" style="385"/>
    <col min="274" max="274" width="14.140625" style="385" bestFit="1" customWidth="1"/>
    <col min="275" max="511" width="9.140625" style="385"/>
    <col min="512" max="512" width="9" style="385" customWidth="1"/>
    <col min="513" max="513" width="1.140625" style="385" customWidth="1"/>
    <col min="514" max="514" width="23.5703125" style="385" customWidth="1"/>
    <col min="515" max="516" width="0.85546875" style="385" customWidth="1"/>
    <col min="517" max="517" width="33" style="385" customWidth="1"/>
    <col min="518" max="519" width="0.85546875" style="385" customWidth="1"/>
    <col min="520" max="520" width="15.140625" style="385" bestFit="1" customWidth="1"/>
    <col min="521" max="522" width="0.85546875" style="385" customWidth="1"/>
    <col min="523" max="523" width="29.5703125" style="385" customWidth="1"/>
    <col min="524" max="524" width="1.5703125" style="385" customWidth="1"/>
    <col min="525" max="527" width="9.140625" style="385"/>
    <col min="528" max="528" width="13.85546875" style="385" bestFit="1" customWidth="1"/>
    <col min="529" max="529" width="9.140625" style="385"/>
    <col min="530" max="530" width="14.140625" style="385" bestFit="1" customWidth="1"/>
    <col min="531" max="767" width="9.140625" style="385"/>
    <col min="768" max="768" width="9" style="385" customWidth="1"/>
    <col min="769" max="769" width="1.140625" style="385" customWidth="1"/>
    <col min="770" max="770" width="23.5703125" style="385" customWidth="1"/>
    <col min="771" max="772" width="0.85546875" style="385" customWidth="1"/>
    <col min="773" max="773" width="33" style="385" customWidth="1"/>
    <col min="774" max="775" width="0.85546875" style="385" customWidth="1"/>
    <col min="776" max="776" width="15.140625" style="385" bestFit="1" customWidth="1"/>
    <col min="777" max="778" width="0.85546875" style="385" customWidth="1"/>
    <col min="779" max="779" width="29.5703125" style="385" customWidth="1"/>
    <col min="780" max="780" width="1.5703125" style="385" customWidth="1"/>
    <col min="781" max="783" width="9.140625" style="385"/>
    <col min="784" max="784" width="13.85546875" style="385" bestFit="1" customWidth="1"/>
    <col min="785" max="785" width="9.140625" style="385"/>
    <col min="786" max="786" width="14.140625" style="385" bestFit="1" customWidth="1"/>
    <col min="787" max="1023" width="9.140625" style="385"/>
    <col min="1024" max="1024" width="9" style="385" customWidth="1"/>
    <col min="1025" max="1025" width="1.140625" style="385" customWidth="1"/>
    <col min="1026" max="1026" width="23.5703125" style="385" customWidth="1"/>
    <col min="1027" max="1028" width="0.85546875" style="385" customWidth="1"/>
    <col min="1029" max="1029" width="33" style="385" customWidth="1"/>
    <col min="1030" max="1031" width="0.85546875" style="385" customWidth="1"/>
    <col min="1032" max="1032" width="15.140625" style="385" bestFit="1" customWidth="1"/>
    <col min="1033" max="1034" width="0.85546875" style="385" customWidth="1"/>
    <col min="1035" max="1035" width="29.5703125" style="385" customWidth="1"/>
    <col min="1036" max="1036" width="1.5703125" style="385" customWidth="1"/>
    <col min="1037" max="1039" width="9.140625" style="385"/>
    <col min="1040" max="1040" width="13.85546875" style="385" bestFit="1" customWidth="1"/>
    <col min="1041" max="1041" width="9.140625" style="385"/>
    <col min="1042" max="1042" width="14.140625" style="385" bestFit="1" customWidth="1"/>
    <col min="1043" max="1279" width="9.140625" style="385"/>
    <col min="1280" max="1280" width="9" style="385" customWidth="1"/>
    <col min="1281" max="1281" width="1.140625" style="385" customWidth="1"/>
    <col min="1282" max="1282" width="23.5703125" style="385" customWidth="1"/>
    <col min="1283" max="1284" width="0.85546875" style="385" customWidth="1"/>
    <col min="1285" max="1285" width="33" style="385" customWidth="1"/>
    <col min="1286" max="1287" width="0.85546875" style="385" customWidth="1"/>
    <col min="1288" max="1288" width="15.140625" style="385" bestFit="1" customWidth="1"/>
    <col min="1289" max="1290" width="0.85546875" style="385" customWidth="1"/>
    <col min="1291" max="1291" width="29.5703125" style="385" customWidth="1"/>
    <col min="1292" max="1292" width="1.5703125" style="385" customWidth="1"/>
    <col min="1293" max="1295" width="9.140625" style="385"/>
    <col min="1296" max="1296" width="13.85546875" style="385" bestFit="1" customWidth="1"/>
    <col min="1297" max="1297" width="9.140625" style="385"/>
    <col min="1298" max="1298" width="14.140625" style="385" bestFit="1" customWidth="1"/>
    <col min="1299" max="1535" width="9.140625" style="385"/>
    <col min="1536" max="1536" width="9" style="385" customWidth="1"/>
    <col min="1537" max="1537" width="1.140625" style="385" customWidth="1"/>
    <col min="1538" max="1538" width="23.5703125" style="385" customWidth="1"/>
    <col min="1539" max="1540" width="0.85546875" style="385" customWidth="1"/>
    <col min="1541" max="1541" width="33" style="385" customWidth="1"/>
    <col min="1542" max="1543" width="0.85546875" style="385" customWidth="1"/>
    <col min="1544" max="1544" width="15.140625" style="385" bestFit="1" customWidth="1"/>
    <col min="1545" max="1546" width="0.85546875" style="385" customWidth="1"/>
    <col min="1547" max="1547" width="29.5703125" style="385" customWidth="1"/>
    <col min="1548" max="1548" width="1.5703125" style="385" customWidth="1"/>
    <col min="1549" max="1551" width="9.140625" style="385"/>
    <col min="1552" max="1552" width="13.85546875" style="385" bestFit="1" customWidth="1"/>
    <col min="1553" max="1553" width="9.140625" style="385"/>
    <col min="1554" max="1554" width="14.140625" style="385" bestFit="1" customWidth="1"/>
    <col min="1555" max="1791" width="9.140625" style="385"/>
    <col min="1792" max="1792" width="9" style="385" customWidth="1"/>
    <col min="1793" max="1793" width="1.140625" style="385" customWidth="1"/>
    <col min="1794" max="1794" width="23.5703125" style="385" customWidth="1"/>
    <col min="1795" max="1796" width="0.85546875" style="385" customWidth="1"/>
    <col min="1797" max="1797" width="33" style="385" customWidth="1"/>
    <col min="1798" max="1799" width="0.85546875" style="385" customWidth="1"/>
    <col min="1800" max="1800" width="15.140625" style="385" bestFit="1" customWidth="1"/>
    <col min="1801" max="1802" width="0.85546875" style="385" customWidth="1"/>
    <col min="1803" max="1803" width="29.5703125" style="385" customWidth="1"/>
    <col min="1804" max="1804" width="1.5703125" style="385" customWidth="1"/>
    <col min="1805" max="1807" width="9.140625" style="385"/>
    <col min="1808" max="1808" width="13.85546875" style="385" bestFit="1" customWidth="1"/>
    <col min="1809" max="1809" width="9.140625" style="385"/>
    <col min="1810" max="1810" width="14.140625" style="385" bestFit="1" customWidth="1"/>
    <col min="1811" max="2047" width="9.140625" style="385"/>
    <col min="2048" max="2048" width="9" style="385" customWidth="1"/>
    <col min="2049" max="2049" width="1.140625" style="385" customWidth="1"/>
    <col min="2050" max="2050" width="23.5703125" style="385" customWidth="1"/>
    <col min="2051" max="2052" width="0.85546875" style="385" customWidth="1"/>
    <col min="2053" max="2053" width="33" style="385" customWidth="1"/>
    <col min="2054" max="2055" width="0.85546875" style="385" customWidth="1"/>
    <col min="2056" max="2056" width="15.140625" style="385" bestFit="1" customWidth="1"/>
    <col min="2057" max="2058" width="0.85546875" style="385" customWidth="1"/>
    <col min="2059" max="2059" width="29.5703125" style="385" customWidth="1"/>
    <col min="2060" max="2060" width="1.5703125" style="385" customWidth="1"/>
    <col min="2061" max="2063" width="9.140625" style="385"/>
    <col min="2064" max="2064" width="13.85546875" style="385" bestFit="1" customWidth="1"/>
    <col min="2065" max="2065" width="9.140625" style="385"/>
    <col min="2066" max="2066" width="14.140625" style="385" bestFit="1" customWidth="1"/>
    <col min="2067" max="2303" width="9.140625" style="385"/>
    <col min="2304" max="2304" width="9" style="385" customWidth="1"/>
    <col min="2305" max="2305" width="1.140625" style="385" customWidth="1"/>
    <col min="2306" max="2306" width="23.5703125" style="385" customWidth="1"/>
    <col min="2307" max="2308" width="0.85546875" style="385" customWidth="1"/>
    <col min="2309" max="2309" width="33" style="385" customWidth="1"/>
    <col min="2310" max="2311" width="0.85546875" style="385" customWidth="1"/>
    <col min="2312" max="2312" width="15.140625" style="385" bestFit="1" customWidth="1"/>
    <col min="2313" max="2314" width="0.85546875" style="385" customWidth="1"/>
    <col min="2315" max="2315" width="29.5703125" style="385" customWidth="1"/>
    <col min="2316" max="2316" width="1.5703125" style="385" customWidth="1"/>
    <col min="2317" max="2319" width="9.140625" style="385"/>
    <col min="2320" max="2320" width="13.85546875" style="385" bestFit="1" customWidth="1"/>
    <col min="2321" max="2321" width="9.140625" style="385"/>
    <col min="2322" max="2322" width="14.140625" style="385" bestFit="1" customWidth="1"/>
    <col min="2323" max="2559" width="9.140625" style="385"/>
    <col min="2560" max="2560" width="9" style="385" customWidth="1"/>
    <col min="2561" max="2561" width="1.140625" style="385" customWidth="1"/>
    <col min="2562" max="2562" width="23.5703125" style="385" customWidth="1"/>
    <col min="2563" max="2564" width="0.85546875" style="385" customWidth="1"/>
    <col min="2565" max="2565" width="33" style="385" customWidth="1"/>
    <col min="2566" max="2567" width="0.85546875" style="385" customWidth="1"/>
    <col min="2568" max="2568" width="15.140625" style="385" bestFit="1" customWidth="1"/>
    <col min="2569" max="2570" width="0.85546875" style="385" customWidth="1"/>
    <col min="2571" max="2571" width="29.5703125" style="385" customWidth="1"/>
    <col min="2572" max="2572" width="1.5703125" style="385" customWidth="1"/>
    <col min="2573" max="2575" width="9.140625" style="385"/>
    <col min="2576" max="2576" width="13.85546875" style="385" bestFit="1" customWidth="1"/>
    <col min="2577" max="2577" width="9.140625" style="385"/>
    <col min="2578" max="2578" width="14.140625" style="385" bestFit="1" customWidth="1"/>
    <col min="2579" max="2815" width="9.140625" style="385"/>
    <col min="2816" max="2816" width="9" style="385" customWidth="1"/>
    <col min="2817" max="2817" width="1.140625" style="385" customWidth="1"/>
    <col min="2818" max="2818" width="23.5703125" style="385" customWidth="1"/>
    <col min="2819" max="2820" width="0.85546875" style="385" customWidth="1"/>
    <col min="2821" max="2821" width="33" style="385" customWidth="1"/>
    <col min="2822" max="2823" width="0.85546875" style="385" customWidth="1"/>
    <col min="2824" max="2824" width="15.140625" style="385" bestFit="1" customWidth="1"/>
    <col min="2825" max="2826" width="0.85546875" style="385" customWidth="1"/>
    <col min="2827" max="2827" width="29.5703125" style="385" customWidth="1"/>
    <col min="2828" max="2828" width="1.5703125" style="385" customWidth="1"/>
    <col min="2829" max="2831" width="9.140625" style="385"/>
    <col min="2832" max="2832" width="13.85546875" style="385" bestFit="1" customWidth="1"/>
    <col min="2833" max="2833" width="9.140625" style="385"/>
    <col min="2834" max="2834" width="14.140625" style="385" bestFit="1" customWidth="1"/>
    <col min="2835" max="3071" width="9.140625" style="385"/>
    <col min="3072" max="3072" width="9" style="385" customWidth="1"/>
    <col min="3073" max="3073" width="1.140625" style="385" customWidth="1"/>
    <col min="3074" max="3074" width="23.5703125" style="385" customWidth="1"/>
    <col min="3075" max="3076" width="0.85546875" style="385" customWidth="1"/>
    <col min="3077" max="3077" width="33" style="385" customWidth="1"/>
    <col min="3078" max="3079" width="0.85546875" style="385" customWidth="1"/>
    <col min="3080" max="3080" width="15.140625" style="385" bestFit="1" customWidth="1"/>
    <col min="3081" max="3082" width="0.85546875" style="385" customWidth="1"/>
    <col min="3083" max="3083" width="29.5703125" style="385" customWidth="1"/>
    <col min="3084" max="3084" width="1.5703125" style="385" customWidth="1"/>
    <col min="3085" max="3087" width="9.140625" style="385"/>
    <col min="3088" max="3088" width="13.85546875" style="385" bestFit="1" customWidth="1"/>
    <col min="3089" max="3089" width="9.140625" style="385"/>
    <col min="3090" max="3090" width="14.140625" style="385" bestFit="1" customWidth="1"/>
    <col min="3091" max="3327" width="9.140625" style="385"/>
    <col min="3328" max="3328" width="9" style="385" customWidth="1"/>
    <col min="3329" max="3329" width="1.140625" style="385" customWidth="1"/>
    <col min="3330" max="3330" width="23.5703125" style="385" customWidth="1"/>
    <col min="3331" max="3332" width="0.85546875" style="385" customWidth="1"/>
    <col min="3333" max="3333" width="33" style="385" customWidth="1"/>
    <col min="3334" max="3335" width="0.85546875" style="385" customWidth="1"/>
    <col min="3336" max="3336" width="15.140625" style="385" bestFit="1" customWidth="1"/>
    <col min="3337" max="3338" width="0.85546875" style="385" customWidth="1"/>
    <col min="3339" max="3339" width="29.5703125" style="385" customWidth="1"/>
    <col min="3340" max="3340" width="1.5703125" style="385" customWidth="1"/>
    <col min="3341" max="3343" width="9.140625" style="385"/>
    <col min="3344" max="3344" width="13.85546875" style="385" bestFit="1" customWidth="1"/>
    <col min="3345" max="3345" width="9.140625" style="385"/>
    <col min="3346" max="3346" width="14.140625" style="385" bestFit="1" customWidth="1"/>
    <col min="3347" max="3583" width="9.140625" style="385"/>
    <col min="3584" max="3584" width="9" style="385" customWidth="1"/>
    <col min="3585" max="3585" width="1.140625" style="385" customWidth="1"/>
    <col min="3586" max="3586" width="23.5703125" style="385" customWidth="1"/>
    <col min="3587" max="3588" width="0.85546875" style="385" customWidth="1"/>
    <col min="3589" max="3589" width="33" style="385" customWidth="1"/>
    <col min="3590" max="3591" width="0.85546875" style="385" customWidth="1"/>
    <col min="3592" max="3592" width="15.140625" style="385" bestFit="1" customWidth="1"/>
    <col min="3593" max="3594" width="0.85546875" style="385" customWidth="1"/>
    <col min="3595" max="3595" width="29.5703125" style="385" customWidth="1"/>
    <col min="3596" max="3596" width="1.5703125" style="385" customWidth="1"/>
    <col min="3597" max="3599" width="9.140625" style="385"/>
    <col min="3600" max="3600" width="13.85546875" style="385" bestFit="1" customWidth="1"/>
    <col min="3601" max="3601" width="9.140625" style="385"/>
    <col min="3602" max="3602" width="14.140625" style="385" bestFit="1" customWidth="1"/>
    <col min="3603" max="3839" width="9.140625" style="385"/>
    <col min="3840" max="3840" width="9" style="385" customWidth="1"/>
    <col min="3841" max="3841" width="1.140625" style="385" customWidth="1"/>
    <col min="3842" max="3842" width="23.5703125" style="385" customWidth="1"/>
    <col min="3843" max="3844" width="0.85546875" style="385" customWidth="1"/>
    <col min="3845" max="3845" width="33" style="385" customWidth="1"/>
    <col min="3846" max="3847" width="0.85546875" style="385" customWidth="1"/>
    <col min="3848" max="3848" width="15.140625" style="385" bestFit="1" customWidth="1"/>
    <col min="3849" max="3850" width="0.85546875" style="385" customWidth="1"/>
    <col min="3851" max="3851" width="29.5703125" style="385" customWidth="1"/>
    <col min="3852" max="3852" width="1.5703125" style="385" customWidth="1"/>
    <col min="3853" max="3855" width="9.140625" style="385"/>
    <col min="3856" max="3856" width="13.85546875" style="385" bestFit="1" customWidth="1"/>
    <col min="3857" max="3857" width="9.140625" style="385"/>
    <col min="3858" max="3858" width="14.140625" style="385" bestFit="1" customWidth="1"/>
    <col min="3859" max="4095" width="9.140625" style="385"/>
    <col min="4096" max="4096" width="9" style="385" customWidth="1"/>
    <col min="4097" max="4097" width="1.140625" style="385" customWidth="1"/>
    <col min="4098" max="4098" width="23.5703125" style="385" customWidth="1"/>
    <col min="4099" max="4100" width="0.85546875" style="385" customWidth="1"/>
    <col min="4101" max="4101" width="33" style="385" customWidth="1"/>
    <col min="4102" max="4103" width="0.85546875" style="385" customWidth="1"/>
    <col min="4104" max="4104" width="15.140625" style="385" bestFit="1" customWidth="1"/>
    <col min="4105" max="4106" width="0.85546875" style="385" customWidth="1"/>
    <col min="4107" max="4107" width="29.5703125" style="385" customWidth="1"/>
    <col min="4108" max="4108" width="1.5703125" style="385" customWidth="1"/>
    <col min="4109" max="4111" width="9.140625" style="385"/>
    <col min="4112" max="4112" width="13.85546875" style="385" bestFit="1" customWidth="1"/>
    <col min="4113" max="4113" width="9.140625" style="385"/>
    <col min="4114" max="4114" width="14.140625" style="385" bestFit="1" customWidth="1"/>
    <col min="4115" max="4351" width="9.140625" style="385"/>
    <col min="4352" max="4352" width="9" style="385" customWidth="1"/>
    <col min="4353" max="4353" width="1.140625" style="385" customWidth="1"/>
    <col min="4354" max="4354" width="23.5703125" style="385" customWidth="1"/>
    <col min="4355" max="4356" width="0.85546875" style="385" customWidth="1"/>
    <col min="4357" max="4357" width="33" style="385" customWidth="1"/>
    <col min="4358" max="4359" width="0.85546875" style="385" customWidth="1"/>
    <col min="4360" max="4360" width="15.140625" style="385" bestFit="1" customWidth="1"/>
    <col min="4361" max="4362" width="0.85546875" style="385" customWidth="1"/>
    <col min="4363" max="4363" width="29.5703125" style="385" customWidth="1"/>
    <col min="4364" max="4364" width="1.5703125" style="385" customWidth="1"/>
    <col min="4365" max="4367" width="9.140625" style="385"/>
    <col min="4368" max="4368" width="13.85546875" style="385" bestFit="1" customWidth="1"/>
    <col min="4369" max="4369" width="9.140625" style="385"/>
    <col min="4370" max="4370" width="14.140625" style="385" bestFit="1" customWidth="1"/>
    <col min="4371" max="4607" width="9.140625" style="385"/>
    <col min="4608" max="4608" width="9" style="385" customWidth="1"/>
    <col min="4609" max="4609" width="1.140625" style="385" customWidth="1"/>
    <col min="4610" max="4610" width="23.5703125" style="385" customWidth="1"/>
    <col min="4611" max="4612" width="0.85546875" style="385" customWidth="1"/>
    <col min="4613" max="4613" width="33" style="385" customWidth="1"/>
    <col min="4614" max="4615" width="0.85546875" style="385" customWidth="1"/>
    <col min="4616" max="4616" width="15.140625" style="385" bestFit="1" customWidth="1"/>
    <col min="4617" max="4618" width="0.85546875" style="385" customWidth="1"/>
    <col min="4619" max="4619" width="29.5703125" style="385" customWidth="1"/>
    <col min="4620" max="4620" width="1.5703125" style="385" customWidth="1"/>
    <col min="4621" max="4623" width="9.140625" style="385"/>
    <col min="4624" max="4624" width="13.85546875" style="385" bestFit="1" customWidth="1"/>
    <col min="4625" max="4625" width="9.140625" style="385"/>
    <col min="4626" max="4626" width="14.140625" style="385" bestFit="1" customWidth="1"/>
    <col min="4627" max="4863" width="9.140625" style="385"/>
    <col min="4864" max="4864" width="9" style="385" customWidth="1"/>
    <col min="4865" max="4865" width="1.140625" style="385" customWidth="1"/>
    <col min="4866" max="4866" width="23.5703125" style="385" customWidth="1"/>
    <col min="4867" max="4868" width="0.85546875" style="385" customWidth="1"/>
    <col min="4869" max="4869" width="33" style="385" customWidth="1"/>
    <col min="4870" max="4871" width="0.85546875" style="385" customWidth="1"/>
    <col min="4872" max="4872" width="15.140625" style="385" bestFit="1" customWidth="1"/>
    <col min="4873" max="4874" width="0.85546875" style="385" customWidth="1"/>
    <col min="4875" max="4875" width="29.5703125" style="385" customWidth="1"/>
    <col min="4876" max="4876" width="1.5703125" style="385" customWidth="1"/>
    <col min="4877" max="4879" width="9.140625" style="385"/>
    <col min="4880" max="4880" width="13.85546875" style="385" bestFit="1" customWidth="1"/>
    <col min="4881" max="4881" width="9.140625" style="385"/>
    <col min="4882" max="4882" width="14.140625" style="385" bestFit="1" customWidth="1"/>
    <col min="4883" max="5119" width="9.140625" style="385"/>
    <col min="5120" max="5120" width="9" style="385" customWidth="1"/>
    <col min="5121" max="5121" width="1.140625" style="385" customWidth="1"/>
    <col min="5122" max="5122" width="23.5703125" style="385" customWidth="1"/>
    <col min="5123" max="5124" width="0.85546875" style="385" customWidth="1"/>
    <col min="5125" max="5125" width="33" style="385" customWidth="1"/>
    <col min="5126" max="5127" width="0.85546875" style="385" customWidth="1"/>
    <col min="5128" max="5128" width="15.140625" style="385" bestFit="1" customWidth="1"/>
    <col min="5129" max="5130" width="0.85546875" style="385" customWidth="1"/>
    <col min="5131" max="5131" width="29.5703125" style="385" customWidth="1"/>
    <col min="5132" max="5132" width="1.5703125" style="385" customWidth="1"/>
    <col min="5133" max="5135" width="9.140625" style="385"/>
    <col min="5136" max="5136" width="13.85546875" style="385" bestFit="1" customWidth="1"/>
    <col min="5137" max="5137" width="9.140625" style="385"/>
    <col min="5138" max="5138" width="14.140625" style="385" bestFit="1" customWidth="1"/>
    <col min="5139" max="5375" width="9.140625" style="385"/>
    <col min="5376" max="5376" width="9" style="385" customWidth="1"/>
    <col min="5377" max="5377" width="1.140625" style="385" customWidth="1"/>
    <col min="5378" max="5378" width="23.5703125" style="385" customWidth="1"/>
    <col min="5379" max="5380" width="0.85546875" style="385" customWidth="1"/>
    <col min="5381" max="5381" width="33" style="385" customWidth="1"/>
    <col min="5382" max="5383" width="0.85546875" style="385" customWidth="1"/>
    <col min="5384" max="5384" width="15.140625" style="385" bestFit="1" customWidth="1"/>
    <col min="5385" max="5386" width="0.85546875" style="385" customWidth="1"/>
    <col min="5387" max="5387" width="29.5703125" style="385" customWidth="1"/>
    <col min="5388" max="5388" width="1.5703125" style="385" customWidth="1"/>
    <col min="5389" max="5391" width="9.140625" style="385"/>
    <col min="5392" max="5392" width="13.85546875" style="385" bestFit="1" customWidth="1"/>
    <col min="5393" max="5393" width="9.140625" style="385"/>
    <col min="5394" max="5394" width="14.140625" style="385" bestFit="1" customWidth="1"/>
    <col min="5395" max="5631" width="9.140625" style="385"/>
    <col min="5632" max="5632" width="9" style="385" customWidth="1"/>
    <col min="5633" max="5633" width="1.140625" style="385" customWidth="1"/>
    <col min="5634" max="5634" width="23.5703125" style="385" customWidth="1"/>
    <col min="5635" max="5636" width="0.85546875" style="385" customWidth="1"/>
    <col min="5637" max="5637" width="33" style="385" customWidth="1"/>
    <col min="5638" max="5639" width="0.85546875" style="385" customWidth="1"/>
    <col min="5640" max="5640" width="15.140625" style="385" bestFit="1" customWidth="1"/>
    <col min="5641" max="5642" width="0.85546875" style="385" customWidth="1"/>
    <col min="5643" max="5643" width="29.5703125" style="385" customWidth="1"/>
    <col min="5644" max="5644" width="1.5703125" style="385" customWidth="1"/>
    <col min="5645" max="5647" width="9.140625" style="385"/>
    <col min="5648" max="5648" width="13.85546875" style="385" bestFit="1" customWidth="1"/>
    <col min="5649" max="5649" width="9.140625" style="385"/>
    <col min="5650" max="5650" width="14.140625" style="385" bestFit="1" customWidth="1"/>
    <col min="5651" max="5887" width="9.140625" style="385"/>
    <col min="5888" max="5888" width="9" style="385" customWidth="1"/>
    <col min="5889" max="5889" width="1.140625" style="385" customWidth="1"/>
    <col min="5890" max="5890" width="23.5703125" style="385" customWidth="1"/>
    <col min="5891" max="5892" width="0.85546875" style="385" customWidth="1"/>
    <col min="5893" max="5893" width="33" style="385" customWidth="1"/>
    <col min="5894" max="5895" width="0.85546875" style="385" customWidth="1"/>
    <col min="5896" max="5896" width="15.140625" style="385" bestFit="1" customWidth="1"/>
    <col min="5897" max="5898" width="0.85546875" style="385" customWidth="1"/>
    <col min="5899" max="5899" width="29.5703125" style="385" customWidth="1"/>
    <col min="5900" max="5900" width="1.5703125" style="385" customWidth="1"/>
    <col min="5901" max="5903" width="9.140625" style="385"/>
    <col min="5904" max="5904" width="13.85546875" style="385" bestFit="1" customWidth="1"/>
    <col min="5905" max="5905" width="9.140625" style="385"/>
    <col min="5906" max="5906" width="14.140625" style="385" bestFit="1" customWidth="1"/>
    <col min="5907" max="6143" width="9.140625" style="385"/>
    <col min="6144" max="6144" width="9" style="385" customWidth="1"/>
    <col min="6145" max="6145" width="1.140625" style="385" customWidth="1"/>
    <col min="6146" max="6146" width="23.5703125" style="385" customWidth="1"/>
    <col min="6147" max="6148" width="0.85546875" style="385" customWidth="1"/>
    <col min="6149" max="6149" width="33" style="385" customWidth="1"/>
    <col min="6150" max="6151" width="0.85546875" style="385" customWidth="1"/>
    <col min="6152" max="6152" width="15.140625" style="385" bestFit="1" customWidth="1"/>
    <col min="6153" max="6154" width="0.85546875" style="385" customWidth="1"/>
    <col min="6155" max="6155" width="29.5703125" style="385" customWidth="1"/>
    <col min="6156" max="6156" width="1.5703125" style="385" customWidth="1"/>
    <col min="6157" max="6159" width="9.140625" style="385"/>
    <col min="6160" max="6160" width="13.85546875" style="385" bestFit="1" customWidth="1"/>
    <col min="6161" max="6161" width="9.140625" style="385"/>
    <col min="6162" max="6162" width="14.140625" style="385" bestFit="1" customWidth="1"/>
    <col min="6163" max="6399" width="9.140625" style="385"/>
    <col min="6400" max="6400" width="9" style="385" customWidth="1"/>
    <col min="6401" max="6401" width="1.140625" style="385" customWidth="1"/>
    <col min="6402" max="6402" width="23.5703125" style="385" customWidth="1"/>
    <col min="6403" max="6404" width="0.85546875" style="385" customWidth="1"/>
    <col min="6405" max="6405" width="33" style="385" customWidth="1"/>
    <col min="6406" max="6407" width="0.85546875" style="385" customWidth="1"/>
    <col min="6408" max="6408" width="15.140625" style="385" bestFit="1" customWidth="1"/>
    <col min="6409" max="6410" width="0.85546875" style="385" customWidth="1"/>
    <col min="6411" max="6411" width="29.5703125" style="385" customWidth="1"/>
    <col min="6412" max="6412" width="1.5703125" style="385" customWidth="1"/>
    <col min="6413" max="6415" width="9.140625" style="385"/>
    <col min="6416" max="6416" width="13.85546875" style="385" bestFit="1" customWidth="1"/>
    <col min="6417" max="6417" width="9.140625" style="385"/>
    <col min="6418" max="6418" width="14.140625" style="385" bestFit="1" customWidth="1"/>
    <col min="6419" max="6655" width="9.140625" style="385"/>
    <col min="6656" max="6656" width="9" style="385" customWidth="1"/>
    <col min="6657" max="6657" width="1.140625" style="385" customWidth="1"/>
    <col min="6658" max="6658" width="23.5703125" style="385" customWidth="1"/>
    <col min="6659" max="6660" width="0.85546875" style="385" customWidth="1"/>
    <col min="6661" max="6661" width="33" style="385" customWidth="1"/>
    <col min="6662" max="6663" width="0.85546875" style="385" customWidth="1"/>
    <col min="6664" max="6664" width="15.140625" style="385" bestFit="1" customWidth="1"/>
    <col min="6665" max="6666" width="0.85546875" style="385" customWidth="1"/>
    <col min="6667" max="6667" width="29.5703125" style="385" customWidth="1"/>
    <col min="6668" max="6668" width="1.5703125" style="385" customWidth="1"/>
    <col min="6669" max="6671" width="9.140625" style="385"/>
    <col min="6672" max="6672" width="13.85546875" style="385" bestFit="1" customWidth="1"/>
    <col min="6673" max="6673" width="9.140625" style="385"/>
    <col min="6674" max="6674" width="14.140625" style="385" bestFit="1" customWidth="1"/>
    <col min="6675" max="6911" width="9.140625" style="385"/>
    <col min="6912" max="6912" width="9" style="385" customWidth="1"/>
    <col min="6913" max="6913" width="1.140625" style="385" customWidth="1"/>
    <col min="6914" max="6914" width="23.5703125" style="385" customWidth="1"/>
    <col min="6915" max="6916" width="0.85546875" style="385" customWidth="1"/>
    <col min="6917" max="6917" width="33" style="385" customWidth="1"/>
    <col min="6918" max="6919" width="0.85546875" style="385" customWidth="1"/>
    <col min="6920" max="6920" width="15.140625" style="385" bestFit="1" customWidth="1"/>
    <col min="6921" max="6922" width="0.85546875" style="385" customWidth="1"/>
    <col min="6923" max="6923" width="29.5703125" style="385" customWidth="1"/>
    <col min="6924" max="6924" width="1.5703125" style="385" customWidth="1"/>
    <col min="6925" max="6927" width="9.140625" style="385"/>
    <col min="6928" max="6928" width="13.85546875" style="385" bestFit="1" customWidth="1"/>
    <col min="6929" max="6929" width="9.140625" style="385"/>
    <col min="6930" max="6930" width="14.140625" style="385" bestFit="1" customWidth="1"/>
    <col min="6931" max="7167" width="9.140625" style="385"/>
    <col min="7168" max="7168" width="9" style="385" customWidth="1"/>
    <col min="7169" max="7169" width="1.140625" style="385" customWidth="1"/>
    <col min="7170" max="7170" width="23.5703125" style="385" customWidth="1"/>
    <col min="7171" max="7172" width="0.85546875" style="385" customWidth="1"/>
    <col min="7173" max="7173" width="33" style="385" customWidth="1"/>
    <col min="7174" max="7175" width="0.85546875" style="385" customWidth="1"/>
    <col min="7176" max="7176" width="15.140625" style="385" bestFit="1" customWidth="1"/>
    <col min="7177" max="7178" width="0.85546875" style="385" customWidth="1"/>
    <col min="7179" max="7179" width="29.5703125" style="385" customWidth="1"/>
    <col min="7180" max="7180" width="1.5703125" style="385" customWidth="1"/>
    <col min="7181" max="7183" width="9.140625" style="385"/>
    <col min="7184" max="7184" width="13.85546875" style="385" bestFit="1" customWidth="1"/>
    <col min="7185" max="7185" width="9.140625" style="385"/>
    <col min="7186" max="7186" width="14.140625" style="385" bestFit="1" customWidth="1"/>
    <col min="7187" max="7423" width="9.140625" style="385"/>
    <col min="7424" max="7424" width="9" style="385" customWidth="1"/>
    <col min="7425" max="7425" width="1.140625" style="385" customWidth="1"/>
    <col min="7426" max="7426" width="23.5703125" style="385" customWidth="1"/>
    <col min="7427" max="7428" width="0.85546875" style="385" customWidth="1"/>
    <col min="7429" max="7429" width="33" style="385" customWidth="1"/>
    <col min="7430" max="7431" width="0.85546875" style="385" customWidth="1"/>
    <col min="7432" max="7432" width="15.140625" style="385" bestFit="1" customWidth="1"/>
    <col min="7433" max="7434" width="0.85546875" style="385" customWidth="1"/>
    <col min="7435" max="7435" width="29.5703125" style="385" customWidth="1"/>
    <col min="7436" max="7436" width="1.5703125" style="385" customWidth="1"/>
    <col min="7437" max="7439" width="9.140625" style="385"/>
    <col min="7440" max="7440" width="13.85546875" style="385" bestFit="1" customWidth="1"/>
    <col min="7441" max="7441" width="9.140625" style="385"/>
    <col min="7442" max="7442" width="14.140625" style="385" bestFit="1" customWidth="1"/>
    <col min="7443" max="7679" width="9.140625" style="385"/>
    <col min="7680" max="7680" width="9" style="385" customWidth="1"/>
    <col min="7681" max="7681" width="1.140625" style="385" customWidth="1"/>
    <col min="7682" max="7682" width="23.5703125" style="385" customWidth="1"/>
    <col min="7683" max="7684" width="0.85546875" style="385" customWidth="1"/>
    <col min="7685" max="7685" width="33" style="385" customWidth="1"/>
    <col min="7686" max="7687" width="0.85546875" style="385" customWidth="1"/>
    <col min="7688" max="7688" width="15.140625" style="385" bestFit="1" customWidth="1"/>
    <col min="7689" max="7690" width="0.85546875" style="385" customWidth="1"/>
    <col min="7691" max="7691" width="29.5703125" style="385" customWidth="1"/>
    <col min="7692" max="7692" width="1.5703125" style="385" customWidth="1"/>
    <col min="7693" max="7695" width="9.140625" style="385"/>
    <col min="7696" max="7696" width="13.85546875" style="385" bestFit="1" customWidth="1"/>
    <col min="7697" max="7697" width="9.140625" style="385"/>
    <col min="7698" max="7698" width="14.140625" style="385" bestFit="1" customWidth="1"/>
    <col min="7699" max="7935" width="9.140625" style="385"/>
    <col min="7936" max="7936" width="9" style="385" customWidth="1"/>
    <col min="7937" max="7937" width="1.140625" style="385" customWidth="1"/>
    <col min="7938" max="7938" width="23.5703125" style="385" customWidth="1"/>
    <col min="7939" max="7940" width="0.85546875" style="385" customWidth="1"/>
    <col min="7941" max="7941" width="33" style="385" customWidth="1"/>
    <col min="7942" max="7943" width="0.85546875" style="385" customWidth="1"/>
    <col min="7944" max="7944" width="15.140625" style="385" bestFit="1" customWidth="1"/>
    <col min="7945" max="7946" width="0.85546875" style="385" customWidth="1"/>
    <col min="7947" max="7947" width="29.5703125" style="385" customWidth="1"/>
    <col min="7948" max="7948" width="1.5703125" style="385" customWidth="1"/>
    <col min="7949" max="7951" width="9.140625" style="385"/>
    <col min="7952" max="7952" width="13.85546875" style="385" bestFit="1" customWidth="1"/>
    <col min="7953" max="7953" width="9.140625" style="385"/>
    <col min="7954" max="7954" width="14.140625" style="385" bestFit="1" customWidth="1"/>
    <col min="7955" max="8191" width="9.140625" style="385"/>
    <col min="8192" max="8192" width="9" style="385" customWidth="1"/>
    <col min="8193" max="8193" width="1.140625" style="385" customWidth="1"/>
    <col min="8194" max="8194" width="23.5703125" style="385" customWidth="1"/>
    <col min="8195" max="8196" width="0.85546875" style="385" customWidth="1"/>
    <col min="8197" max="8197" width="33" style="385" customWidth="1"/>
    <col min="8198" max="8199" width="0.85546875" style="385" customWidth="1"/>
    <col min="8200" max="8200" width="15.140625" style="385" bestFit="1" customWidth="1"/>
    <col min="8201" max="8202" width="0.85546875" style="385" customWidth="1"/>
    <col min="8203" max="8203" width="29.5703125" style="385" customWidth="1"/>
    <col min="8204" max="8204" width="1.5703125" style="385" customWidth="1"/>
    <col min="8205" max="8207" width="9.140625" style="385"/>
    <col min="8208" max="8208" width="13.85546875" style="385" bestFit="1" customWidth="1"/>
    <col min="8209" max="8209" width="9.140625" style="385"/>
    <col min="8210" max="8210" width="14.140625" style="385" bestFit="1" customWidth="1"/>
    <col min="8211" max="8447" width="9.140625" style="385"/>
    <col min="8448" max="8448" width="9" style="385" customWidth="1"/>
    <col min="8449" max="8449" width="1.140625" style="385" customWidth="1"/>
    <col min="8450" max="8450" width="23.5703125" style="385" customWidth="1"/>
    <col min="8451" max="8452" width="0.85546875" style="385" customWidth="1"/>
    <col min="8453" max="8453" width="33" style="385" customWidth="1"/>
    <col min="8454" max="8455" width="0.85546875" style="385" customWidth="1"/>
    <col min="8456" max="8456" width="15.140625" style="385" bestFit="1" customWidth="1"/>
    <col min="8457" max="8458" width="0.85546875" style="385" customWidth="1"/>
    <col min="8459" max="8459" width="29.5703125" style="385" customWidth="1"/>
    <col min="8460" max="8460" width="1.5703125" style="385" customWidth="1"/>
    <col min="8461" max="8463" width="9.140625" style="385"/>
    <col min="8464" max="8464" width="13.85546875" style="385" bestFit="1" customWidth="1"/>
    <col min="8465" max="8465" width="9.140625" style="385"/>
    <col min="8466" max="8466" width="14.140625" style="385" bestFit="1" customWidth="1"/>
    <col min="8467" max="8703" width="9.140625" style="385"/>
    <col min="8704" max="8704" width="9" style="385" customWidth="1"/>
    <col min="8705" max="8705" width="1.140625" style="385" customWidth="1"/>
    <col min="8706" max="8706" width="23.5703125" style="385" customWidth="1"/>
    <col min="8707" max="8708" width="0.85546875" style="385" customWidth="1"/>
    <col min="8709" max="8709" width="33" style="385" customWidth="1"/>
    <col min="8710" max="8711" width="0.85546875" style="385" customWidth="1"/>
    <col min="8712" max="8712" width="15.140625" style="385" bestFit="1" customWidth="1"/>
    <col min="8713" max="8714" width="0.85546875" style="385" customWidth="1"/>
    <col min="8715" max="8715" width="29.5703125" style="385" customWidth="1"/>
    <col min="8716" max="8716" width="1.5703125" style="385" customWidth="1"/>
    <col min="8717" max="8719" width="9.140625" style="385"/>
    <col min="8720" max="8720" width="13.85546875" style="385" bestFit="1" customWidth="1"/>
    <col min="8721" max="8721" width="9.140625" style="385"/>
    <col min="8722" max="8722" width="14.140625" style="385" bestFit="1" customWidth="1"/>
    <col min="8723" max="8959" width="9.140625" style="385"/>
    <col min="8960" max="8960" width="9" style="385" customWidth="1"/>
    <col min="8961" max="8961" width="1.140625" style="385" customWidth="1"/>
    <col min="8962" max="8962" width="23.5703125" style="385" customWidth="1"/>
    <col min="8963" max="8964" width="0.85546875" style="385" customWidth="1"/>
    <col min="8965" max="8965" width="33" style="385" customWidth="1"/>
    <col min="8966" max="8967" width="0.85546875" style="385" customWidth="1"/>
    <col min="8968" max="8968" width="15.140625" style="385" bestFit="1" customWidth="1"/>
    <col min="8969" max="8970" width="0.85546875" style="385" customWidth="1"/>
    <col min="8971" max="8971" width="29.5703125" style="385" customWidth="1"/>
    <col min="8972" max="8972" width="1.5703125" style="385" customWidth="1"/>
    <col min="8973" max="8975" width="9.140625" style="385"/>
    <col min="8976" max="8976" width="13.85546875" style="385" bestFit="1" customWidth="1"/>
    <col min="8977" max="8977" width="9.140625" style="385"/>
    <col min="8978" max="8978" width="14.140625" style="385" bestFit="1" customWidth="1"/>
    <col min="8979" max="9215" width="9.140625" style="385"/>
    <col min="9216" max="9216" width="9" style="385" customWidth="1"/>
    <col min="9217" max="9217" width="1.140625" style="385" customWidth="1"/>
    <col min="9218" max="9218" width="23.5703125" style="385" customWidth="1"/>
    <col min="9219" max="9220" width="0.85546875" style="385" customWidth="1"/>
    <col min="9221" max="9221" width="33" style="385" customWidth="1"/>
    <col min="9222" max="9223" width="0.85546875" style="385" customWidth="1"/>
    <col min="9224" max="9224" width="15.140625" style="385" bestFit="1" customWidth="1"/>
    <col min="9225" max="9226" width="0.85546875" style="385" customWidth="1"/>
    <col min="9227" max="9227" width="29.5703125" style="385" customWidth="1"/>
    <col min="9228" max="9228" width="1.5703125" style="385" customWidth="1"/>
    <col min="9229" max="9231" width="9.140625" style="385"/>
    <col min="9232" max="9232" width="13.85546875" style="385" bestFit="1" customWidth="1"/>
    <col min="9233" max="9233" width="9.140625" style="385"/>
    <col min="9234" max="9234" width="14.140625" style="385" bestFit="1" customWidth="1"/>
    <col min="9235" max="9471" width="9.140625" style="385"/>
    <col min="9472" max="9472" width="9" style="385" customWidth="1"/>
    <col min="9473" max="9473" width="1.140625" style="385" customWidth="1"/>
    <col min="9474" max="9474" width="23.5703125" style="385" customWidth="1"/>
    <col min="9475" max="9476" width="0.85546875" style="385" customWidth="1"/>
    <col min="9477" max="9477" width="33" style="385" customWidth="1"/>
    <col min="9478" max="9479" width="0.85546875" style="385" customWidth="1"/>
    <col min="9480" max="9480" width="15.140625" style="385" bestFit="1" customWidth="1"/>
    <col min="9481" max="9482" width="0.85546875" style="385" customWidth="1"/>
    <col min="9483" max="9483" width="29.5703125" style="385" customWidth="1"/>
    <col min="9484" max="9484" width="1.5703125" style="385" customWidth="1"/>
    <col min="9485" max="9487" width="9.140625" style="385"/>
    <col min="9488" max="9488" width="13.85546875" style="385" bestFit="1" customWidth="1"/>
    <col min="9489" max="9489" width="9.140625" style="385"/>
    <col min="9490" max="9490" width="14.140625" style="385" bestFit="1" customWidth="1"/>
    <col min="9491" max="9727" width="9.140625" style="385"/>
    <col min="9728" max="9728" width="9" style="385" customWidth="1"/>
    <col min="9729" max="9729" width="1.140625" style="385" customWidth="1"/>
    <col min="9730" max="9730" width="23.5703125" style="385" customWidth="1"/>
    <col min="9731" max="9732" width="0.85546875" style="385" customWidth="1"/>
    <col min="9733" max="9733" width="33" style="385" customWidth="1"/>
    <col min="9734" max="9735" width="0.85546875" style="385" customWidth="1"/>
    <col min="9736" max="9736" width="15.140625" style="385" bestFit="1" customWidth="1"/>
    <col min="9737" max="9738" width="0.85546875" style="385" customWidth="1"/>
    <col min="9739" max="9739" width="29.5703125" style="385" customWidth="1"/>
    <col min="9740" max="9740" width="1.5703125" style="385" customWidth="1"/>
    <col min="9741" max="9743" width="9.140625" style="385"/>
    <col min="9744" max="9744" width="13.85546875" style="385" bestFit="1" customWidth="1"/>
    <col min="9745" max="9745" width="9.140625" style="385"/>
    <col min="9746" max="9746" width="14.140625" style="385" bestFit="1" customWidth="1"/>
    <col min="9747" max="9983" width="9.140625" style="385"/>
    <col min="9984" max="9984" width="9" style="385" customWidth="1"/>
    <col min="9985" max="9985" width="1.140625" style="385" customWidth="1"/>
    <col min="9986" max="9986" width="23.5703125" style="385" customWidth="1"/>
    <col min="9987" max="9988" width="0.85546875" style="385" customWidth="1"/>
    <col min="9989" max="9989" width="33" style="385" customWidth="1"/>
    <col min="9990" max="9991" width="0.85546875" style="385" customWidth="1"/>
    <col min="9992" max="9992" width="15.140625" style="385" bestFit="1" customWidth="1"/>
    <col min="9993" max="9994" width="0.85546875" style="385" customWidth="1"/>
    <col min="9995" max="9995" width="29.5703125" style="385" customWidth="1"/>
    <col min="9996" max="9996" width="1.5703125" style="385" customWidth="1"/>
    <col min="9997" max="9999" width="9.140625" style="385"/>
    <col min="10000" max="10000" width="13.85546875" style="385" bestFit="1" customWidth="1"/>
    <col min="10001" max="10001" width="9.140625" style="385"/>
    <col min="10002" max="10002" width="14.140625" style="385" bestFit="1" customWidth="1"/>
    <col min="10003" max="10239" width="9.140625" style="385"/>
    <col min="10240" max="10240" width="9" style="385" customWidth="1"/>
    <col min="10241" max="10241" width="1.140625" style="385" customWidth="1"/>
    <col min="10242" max="10242" width="23.5703125" style="385" customWidth="1"/>
    <col min="10243" max="10244" width="0.85546875" style="385" customWidth="1"/>
    <col min="10245" max="10245" width="33" style="385" customWidth="1"/>
    <col min="10246" max="10247" width="0.85546875" style="385" customWidth="1"/>
    <col min="10248" max="10248" width="15.140625" style="385" bestFit="1" customWidth="1"/>
    <col min="10249" max="10250" width="0.85546875" style="385" customWidth="1"/>
    <col min="10251" max="10251" width="29.5703125" style="385" customWidth="1"/>
    <col min="10252" max="10252" width="1.5703125" style="385" customWidth="1"/>
    <col min="10253" max="10255" width="9.140625" style="385"/>
    <col min="10256" max="10256" width="13.85546875" style="385" bestFit="1" customWidth="1"/>
    <col min="10257" max="10257" width="9.140625" style="385"/>
    <col min="10258" max="10258" width="14.140625" style="385" bestFit="1" customWidth="1"/>
    <col min="10259" max="10495" width="9.140625" style="385"/>
    <col min="10496" max="10496" width="9" style="385" customWidth="1"/>
    <col min="10497" max="10497" width="1.140625" style="385" customWidth="1"/>
    <col min="10498" max="10498" width="23.5703125" style="385" customWidth="1"/>
    <col min="10499" max="10500" width="0.85546875" style="385" customWidth="1"/>
    <col min="10501" max="10501" width="33" style="385" customWidth="1"/>
    <col min="10502" max="10503" width="0.85546875" style="385" customWidth="1"/>
    <col min="10504" max="10504" width="15.140625" style="385" bestFit="1" customWidth="1"/>
    <col min="10505" max="10506" width="0.85546875" style="385" customWidth="1"/>
    <col min="10507" max="10507" width="29.5703125" style="385" customWidth="1"/>
    <col min="10508" max="10508" width="1.5703125" style="385" customWidth="1"/>
    <col min="10509" max="10511" width="9.140625" style="385"/>
    <col min="10512" max="10512" width="13.85546875" style="385" bestFit="1" customWidth="1"/>
    <col min="10513" max="10513" width="9.140625" style="385"/>
    <col min="10514" max="10514" width="14.140625" style="385" bestFit="1" customWidth="1"/>
    <col min="10515" max="10751" width="9.140625" style="385"/>
    <col min="10752" max="10752" width="9" style="385" customWidth="1"/>
    <col min="10753" max="10753" width="1.140625" style="385" customWidth="1"/>
    <col min="10754" max="10754" width="23.5703125" style="385" customWidth="1"/>
    <col min="10755" max="10756" width="0.85546875" style="385" customWidth="1"/>
    <col min="10757" max="10757" width="33" style="385" customWidth="1"/>
    <col min="10758" max="10759" width="0.85546875" style="385" customWidth="1"/>
    <col min="10760" max="10760" width="15.140625" style="385" bestFit="1" customWidth="1"/>
    <col min="10761" max="10762" width="0.85546875" style="385" customWidth="1"/>
    <col min="10763" max="10763" width="29.5703125" style="385" customWidth="1"/>
    <col min="10764" max="10764" width="1.5703125" style="385" customWidth="1"/>
    <col min="10765" max="10767" width="9.140625" style="385"/>
    <col min="10768" max="10768" width="13.85546875" style="385" bestFit="1" customWidth="1"/>
    <col min="10769" max="10769" width="9.140625" style="385"/>
    <col min="10770" max="10770" width="14.140625" style="385" bestFit="1" customWidth="1"/>
    <col min="10771" max="11007" width="9.140625" style="385"/>
    <col min="11008" max="11008" width="9" style="385" customWidth="1"/>
    <col min="11009" max="11009" width="1.140625" style="385" customWidth="1"/>
    <col min="11010" max="11010" width="23.5703125" style="385" customWidth="1"/>
    <col min="11011" max="11012" width="0.85546875" style="385" customWidth="1"/>
    <col min="11013" max="11013" width="33" style="385" customWidth="1"/>
    <col min="11014" max="11015" width="0.85546875" style="385" customWidth="1"/>
    <col min="11016" max="11016" width="15.140625" style="385" bestFit="1" customWidth="1"/>
    <col min="11017" max="11018" width="0.85546875" style="385" customWidth="1"/>
    <col min="11019" max="11019" width="29.5703125" style="385" customWidth="1"/>
    <col min="11020" max="11020" width="1.5703125" style="385" customWidth="1"/>
    <col min="11021" max="11023" width="9.140625" style="385"/>
    <col min="11024" max="11024" width="13.85546875" style="385" bestFit="1" customWidth="1"/>
    <col min="11025" max="11025" width="9.140625" style="385"/>
    <col min="11026" max="11026" width="14.140625" style="385" bestFit="1" customWidth="1"/>
    <col min="11027" max="11263" width="9.140625" style="385"/>
    <col min="11264" max="11264" width="9" style="385" customWidth="1"/>
    <col min="11265" max="11265" width="1.140625" style="385" customWidth="1"/>
    <col min="11266" max="11266" width="23.5703125" style="385" customWidth="1"/>
    <col min="11267" max="11268" width="0.85546875" style="385" customWidth="1"/>
    <col min="11269" max="11269" width="33" style="385" customWidth="1"/>
    <col min="11270" max="11271" width="0.85546875" style="385" customWidth="1"/>
    <col min="11272" max="11272" width="15.140625" style="385" bestFit="1" customWidth="1"/>
    <col min="11273" max="11274" width="0.85546875" style="385" customWidth="1"/>
    <col min="11275" max="11275" width="29.5703125" style="385" customWidth="1"/>
    <col min="11276" max="11276" width="1.5703125" style="385" customWidth="1"/>
    <col min="11277" max="11279" width="9.140625" style="385"/>
    <col min="11280" max="11280" width="13.85546875" style="385" bestFit="1" customWidth="1"/>
    <col min="11281" max="11281" width="9.140625" style="385"/>
    <col min="11282" max="11282" width="14.140625" style="385" bestFit="1" customWidth="1"/>
    <col min="11283" max="11519" width="9.140625" style="385"/>
    <col min="11520" max="11520" width="9" style="385" customWidth="1"/>
    <col min="11521" max="11521" width="1.140625" style="385" customWidth="1"/>
    <col min="11522" max="11522" width="23.5703125" style="385" customWidth="1"/>
    <col min="11523" max="11524" width="0.85546875" style="385" customWidth="1"/>
    <col min="11525" max="11525" width="33" style="385" customWidth="1"/>
    <col min="11526" max="11527" width="0.85546875" style="385" customWidth="1"/>
    <col min="11528" max="11528" width="15.140625" style="385" bestFit="1" customWidth="1"/>
    <col min="11529" max="11530" width="0.85546875" style="385" customWidth="1"/>
    <col min="11531" max="11531" width="29.5703125" style="385" customWidth="1"/>
    <col min="11532" max="11532" width="1.5703125" style="385" customWidth="1"/>
    <col min="11533" max="11535" width="9.140625" style="385"/>
    <col min="11536" max="11536" width="13.85546875" style="385" bestFit="1" customWidth="1"/>
    <col min="11537" max="11537" width="9.140625" style="385"/>
    <col min="11538" max="11538" width="14.140625" style="385" bestFit="1" customWidth="1"/>
    <col min="11539" max="11775" width="9.140625" style="385"/>
    <col min="11776" max="11776" width="9" style="385" customWidth="1"/>
    <col min="11777" max="11777" width="1.140625" style="385" customWidth="1"/>
    <col min="11778" max="11778" width="23.5703125" style="385" customWidth="1"/>
    <col min="11779" max="11780" width="0.85546875" style="385" customWidth="1"/>
    <col min="11781" max="11781" width="33" style="385" customWidth="1"/>
    <col min="11782" max="11783" width="0.85546875" style="385" customWidth="1"/>
    <col min="11784" max="11784" width="15.140625" style="385" bestFit="1" customWidth="1"/>
    <col min="11785" max="11786" width="0.85546875" style="385" customWidth="1"/>
    <col min="11787" max="11787" width="29.5703125" style="385" customWidth="1"/>
    <col min="11788" max="11788" width="1.5703125" style="385" customWidth="1"/>
    <col min="11789" max="11791" width="9.140625" style="385"/>
    <col min="11792" max="11792" width="13.85546875" style="385" bestFit="1" customWidth="1"/>
    <col min="11793" max="11793" width="9.140625" style="385"/>
    <col min="11794" max="11794" width="14.140625" style="385" bestFit="1" customWidth="1"/>
    <col min="11795" max="12031" width="9.140625" style="385"/>
    <col min="12032" max="12032" width="9" style="385" customWidth="1"/>
    <col min="12033" max="12033" width="1.140625" style="385" customWidth="1"/>
    <col min="12034" max="12034" width="23.5703125" style="385" customWidth="1"/>
    <col min="12035" max="12036" width="0.85546875" style="385" customWidth="1"/>
    <col min="12037" max="12037" width="33" style="385" customWidth="1"/>
    <col min="12038" max="12039" width="0.85546875" style="385" customWidth="1"/>
    <col min="12040" max="12040" width="15.140625" style="385" bestFit="1" customWidth="1"/>
    <col min="12041" max="12042" width="0.85546875" style="385" customWidth="1"/>
    <col min="12043" max="12043" width="29.5703125" style="385" customWidth="1"/>
    <col min="12044" max="12044" width="1.5703125" style="385" customWidth="1"/>
    <col min="12045" max="12047" width="9.140625" style="385"/>
    <col min="12048" max="12048" width="13.85546875" style="385" bestFit="1" customWidth="1"/>
    <col min="12049" max="12049" width="9.140625" style="385"/>
    <col min="12050" max="12050" width="14.140625" style="385" bestFit="1" customWidth="1"/>
    <col min="12051" max="12287" width="9.140625" style="385"/>
    <col min="12288" max="12288" width="9" style="385" customWidth="1"/>
    <col min="12289" max="12289" width="1.140625" style="385" customWidth="1"/>
    <col min="12290" max="12290" width="23.5703125" style="385" customWidth="1"/>
    <col min="12291" max="12292" width="0.85546875" style="385" customWidth="1"/>
    <col min="12293" max="12293" width="33" style="385" customWidth="1"/>
    <col min="12294" max="12295" width="0.85546875" style="385" customWidth="1"/>
    <col min="12296" max="12296" width="15.140625" style="385" bestFit="1" customWidth="1"/>
    <col min="12297" max="12298" width="0.85546875" style="385" customWidth="1"/>
    <col min="12299" max="12299" width="29.5703125" style="385" customWidth="1"/>
    <col min="12300" max="12300" width="1.5703125" style="385" customWidth="1"/>
    <col min="12301" max="12303" width="9.140625" style="385"/>
    <col min="12304" max="12304" width="13.85546875" style="385" bestFit="1" customWidth="1"/>
    <col min="12305" max="12305" width="9.140625" style="385"/>
    <col min="12306" max="12306" width="14.140625" style="385" bestFit="1" customWidth="1"/>
    <col min="12307" max="12543" width="9.140625" style="385"/>
    <col min="12544" max="12544" width="9" style="385" customWidth="1"/>
    <col min="12545" max="12545" width="1.140625" style="385" customWidth="1"/>
    <col min="12546" max="12546" width="23.5703125" style="385" customWidth="1"/>
    <col min="12547" max="12548" width="0.85546875" style="385" customWidth="1"/>
    <col min="12549" max="12549" width="33" style="385" customWidth="1"/>
    <col min="12550" max="12551" width="0.85546875" style="385" customWidth="1"/>
    <col min="12552" max="12552" width="15.140625" style="385" bestFit="1" customWidth="1"/>
    <col min="12553" max="12554" width="0.85546875" style="385" customWidth="1"/>
    <col min="12555" max="12555" width="29.5703125" style="385" customWidth="1"/>
    <col min="12556" max="12556" width="1.5703125" style="385" customWidth="1"/>
    <col min="12557" max="12559" width="9.140625" style="385"/>
    <col min="12560" max="12560" width="13.85546875" style="385" bestFit="1" customWidth="1"/>
    <col min="12561" max="12561" width="9.140625" style="385"/>
    <col min="12562" max="12562" width="14.140625" style="385" bestFit="1" customWidth="1"/>
    <col min="12563" max="12799" width="9.140625" style="385"/>
    <col min="12800" max="12800" width="9" style="385" customWidth="1"/>
    <col min="12801" max="12801" width="1.140625" style="385" customWidth="1"/>
    <col min="12802" max="12802" width="23.5703125" style="385" customWidth="1"/>
    <col min="12803" max="12804" width="0.85546875" style="385" customWidth="1"/>
    <col min="12805" max="12805" width="33" style="385" customWidth="1"/>
    <col min="12806" max="12807" width="0.85546875" style="385" customWidth="1"/>
    <col min="12808" max="12808" width="15.140625" style="385" bestFit="1" customWidth="1"/>
    <col min="12809" max="12810" width="0.85546875" style="385" customWidth="1"/>
    <col min="12811" max="12811" width="29.5703125" style="385" customWidth="1"/>
    <col min="12812" max="12812" width="1.5703125" style="385" customWidth="1"/>
    <col min="12813" max="12815" width="9.140625" style="385"/>
    <col min="12816" max="12816" width="13.85546875" style="385" bestFit="1" customWidth="1"/>
    <col min="12817" max="12817" width="9.140625" style="385"/>
    <col min="12818" max="12818" width="14.140625" style="385" bestFit="1" customWidth="1"/>
    <col min="12819" max="13055" width="9.140625" style="385"/>
    <col min="13056" max="13056" width="9" style="385" customWidth="1"/>
    <col min="13057" max="13057" width="1.140625" style="385" customWidth="1"/>
    <col min="13058" max="13058" width="23.5703125" style="385" customWidth="1"/>
    <col min="13059" max="13060" width="0.85546875" style="385" customWidth="1"/>
    <col min="13061" max="13061" width="33" style="385" customWidth="1"/>
    <col min="13062" max="13063" width="0.85546875" style="385" customWidth="1"/>
    <col min="13064" max="13064" width="15.140625" style="385" bestFit="1" customWidth="1"/>
    <col min="13065" max="13066" width="0.85546875" style="385" customWidth="1"/>
    <col min="13067" max="13067" width="29.5703125" style="385" customWidth="1"/>
    <col min="13068" max="13068" width="1.5703125" style="385" customWidth="1"/>
    <col min="13069" max="13071" width="9.140625" style="385"/>
    <col min="13072" max="13072" width="13.85546875" style="385" bestFit="1" customWidth="1"/>
    <col min="13073" max="13073" width="9.140625" style="385"/>
    <col min="13074" max="13074" width="14.140625" style="385" bestFit="1" customWidth="1"/>
    <col min="13075" max="13311" width="9.140625" style="385"/>
    <col min="13312" max="13312" width="9" style="385" customWidth="1"/>
    <col min="13313" max="13313" width="1.140625" style="385" customWidth="1"/>
    <col min="13314" max="13314" width="23.5703125" style="385" customWidth="1"/>
    <col min="13315" max="13316" width="0.85546875" style="385" customWidth="1"/>
    <col min="13317" max="13317" width="33" style="385" customWidth="1"/>
    <col min="13318" max="13319" width="0.85546875" style="385" customWidth="1"/>
    <col min="13320" max="13320" width="15.140625" style="385" bestFit="1" customWidth="1"/>
    <col min="13321" max="13322" width="0.85546875" style="385" customWidth="1"/>
    <col min="13323" max="13323" width="29.5703125" style="385" customWidth="1"/>
    <col min="13324" max="13324" width="1.5703125" style="385" customWidth="1"/>
    <col min="13325" max="13327" width="9.140625" style="385"/>
    <col min="13328" max="13328" width="13.85546875" style="385" bestFit="1" customWidth="1"/>
    <col min="13329" max="13329" width="9.140625" style="385"/>
    <col min="13330" max="13330" width="14.140625" style="385" bestFit="1" customWidth="1"/>
    <col min="13331" max="13567" width="9.140625" style="385"/>
    <col min="13568" max="13568" width="9" style="385" customWidth="1"/>
    <col min="13569" max="13569" width="1.140625" style="385" customWidth="1"/>
    <col min="13570" max="13570" width="23.5703125" style="385" customWidth="1"/>
    <col min="13571" max="13572" width="0.85546875" style="385" customWidth="1"/>
    <col min="13573" max="13573" width="33" style="385" customWidth="1"/>
    <col min="13574" max="13575" width="0.85546875" style="385" customWidth="1"/>
    <col min="13576" max="13576" width="15.140625" style="385" bestFit="1" customWidth="1"/>
    <col min="13577" max="13578" width="0.85546875" style="385" customWidth="1"/>
    <col min="13579" max="13579" width="29.5703125" style="385" customWidth="1"/>
    <col min="13580" max="13580" width="1.5703125" style="385" customWidth="1"/>
    <col min="13581" max="13583" width="9.140625" style="385"/>
    <col min="13584" max="13584" width="13.85546875" style="385" bestFit="1" customWidth="1"/>
    <col min="13585" max="13585" width="9.140625" style="385"/>
    <col min="13586" max="13586" width="14.140625" style="385" bestFit="1" customWidth="1"/>
    <col min="13587" max="13823" width="9.140625" style="385"/>
    <col min="13824" max="13824" width="9" style="385" customWidth="1"/>
    <col min="13825" max="13825" width="1.140625" style="385" customWidth="1"/>
    <col min="13826" max="13826" width="23.5703125" style="385" customWidth="1"/>
    <col min="13827" max="13828" width="0.85546875" style="385" customWidth="1"/>
    <col min="13829" max="13829" width="33" style="385" customWidth="1"/>
    <col min="13830" max="13831" width="0.85546875" style="385" customWidth="1"/>
    <col min="13832" max="13832" width="15.140625" style="385" bestFit="1" customWidth="1"/>
    <col min="13833" max="13834" width="0.85546875" style="385" customWidth="1"/>
    <col min="13835" max="13835" width="29.5703125" style="385" customWidth="1"/>
    <col min="13836" max="13836" width="1.5703125" style="385" customWidth="1"/>
    <col min="13837" max="13839" width="9.140625" style="385"/>
    <col min="13840" max="13840" width="13.85546875" style="385" bestFit="1" customWidth="1"/>
    <col min="13841" max="13841" width="9.140625" style="385"/>
    <col min="13842" max="13842" width="14.140625" style="385" bestFit="1" customWidth="1"/>
    <col min="13843" max="14079" width="9.140625" style="385"/>
    <col min="14080" max="14080" width="9" style="385" customWidth="1"/>
    <col min="14081" max="14081" width="1.140625" style="385" customWidth="1"/>
    <col min="14082" max="14082" width="23.5703125" style="385" customWidth="1"/>
    <col min="14083" max="14084" width="0.85546875" style="385" customWidth="1"/>
    <col min="14085" max="14085" width="33" style="385" customWidth="1"/>
    <col min="14086" max="14087" width="0.85546875" style="385" customWidth="1"/>
    <col min="14088" max="14088" width="15.140625" style="385" bestFit="1" customWidth="1"/>
    <col min="14089" max="14090" width="0.85546875" style="385" customWidth="1"/>
    <col min="14091" max="14091" width="29.5703125" style="385" customWidth="1"/>
    <col min="14092" max="14092" width="1.5703125" style="385" customWidth="1"/>
    <col min="14093" max="14095" width="9.140625" style="385"/>
    <col min="14096" max="14096" width="13.85546875" style="385" bestFit="1" customWidth="1"/>
    <col min="14097" max="14097" width="9.140625" style="385"/>
    <col min="14098" max="14098" width="14.140625" style="385" bestFit="1" customWidth="1"/>
    <col min="14099" max="14335" width="9.140625" style="385"/>
    <col min="14336" max="14336" width="9" style="385" customWidth="1"/>
    <col min="14337" max="14337" width="1.140625" style="385" customWidth="1"/>
    <col min="14338" max="14338" width="23.5703125" style="385" customWidth="1"/>
    <col min="14339" max="14340" width="0.85546875" style="385" customWidth="1"/>
    <col min="14341" max="14341" width="33" style="385" customWidth="1"/>
    <col min="14342" max="14343" width="0.85546875" style="385" customWidth="1"/>
    <col min="14344" max="14344" width="15.140625" style="385" bestFit="1" customWidth="1"/>
    <col min="14345" max="14346" width="0.85546875" style="385" customWidth="1"/>
    <col min="14347" max="14347" width="29.5703125" style="385" customWidth="1"/>
    <col min="14348" max="14348" width="1.5703125" style="385" customWidth="1"/>
    <col min="14349" max="14351" width="9.140625" style="385"/>
    <col min="14352" max="14352" width="13.85546875" style="385" bestFit="1" customWidth="1"/>
    <col min="14353" max="14353" width="9.140625" style="385"/>
    <col min="14354" max="14354" width="14.140625" style="385" bestFit="1" customWidth="1"/>
    <col min="14355" max="14591" width="9.140625" style="385"/>
    <col min="14592" max="14592" width="9" style="385" customWidth="1"/>
    <col min="14593" max="14593" width="1.140625" style="385" customWidth="1"/>
    <col min="14594" max="14594" width="23.5703125" style="385" customWidth="1"/>
    <col min="14595" max="14596" width="0.85546875" style="385" customWidth="1"/>
    <col min="14597" max="14597" width="33" style="385" customWidth="1"/>
    <col min="14598" max="14599" width="0.85546875" style="385" customWidth="1"/>
    <col min="14600" max="14600" width="15.140625" style="385" bestFit="1" customWidth="1"/>
    <col min="14601" max="14602" width="0.85546875" style="385" customWidth="1"/>
    <col min="14603" max="14603" width="29.5703125" style="385" customWidth="1"/>
    <col min="14604" max="14604" width="1.5703125" style="385" customWidth="1"/>
    <col min="14605" max="14607" width="9.140625" style="385"/>
    <col min="14608" max="14608" width="13.85546875" style="385" bestFit="1" customWidth="1"/>
    <col min="14609" max="14609" width="9.140625" style="385"/>
    <col min="14610" max="14610" width="14.140625" style="385" bestFit="1" customWidth="1"/>
    <col min="14611" max="14847" width="9.140625" style="385"/>
    <col min="14848" max="14848" width="9" style="385" customWidth="1"/>
    <col min="14849" max="14849" width="1.140625" style="385" customWidth="1"/>
    <col min="14850" max="14850" width="23.5703125" style="385" customWidth="1"/>
    <col min="14851" max="14852" width="0.85546875" style="385" customWidth="1"/>
    <col min="14853" max="14853" width="33" style="385" customWidth="1"/>
    <col min="14854" max="14855" width="0.85546875" style="385" customWidth="1"/>
    <col min="14856" max="14856" width="15.140625" style="385" bestFit="1" customWidth="1"/>
    <col min="14857" max="14858" width="0.85546875" style="385" customWidth="1"/>
    <col min="14859" max="14859" width="29.5703125" style="385" customWidth="1"/>
    <col min="14860" max="14860" width="1.5703125" style="385" customWidth="1"/>
    <col min="14861" max="14863" width="9.140625" style="385"/>
    <col min="14864" max="14864" width="13.85546875" style="385" bestFit="1" customWidth="1"/>
    <col min="14865" max="14865" width="9.140625" style="385"/>
    <col min="14866" max="14866" width="14.140625" style="385" bestFit="1" customWidth="1"/>
    <col min="14867" max="15103" width="9.140625" style="385"/>
    <col min="15104" max="15104" width="9" style="385" customWidth="1"/>
    <col min="15105" max="15105" width="1.140625" style="385" customWidth="1"/>
    <col min="15106" max="15106" width="23.5703125" style="385" customWidth="1"/>
    <col min="15107" max="15108" width="0.85546875" style="385" customWidth="1"/>
    <col min="15109" max="15109" width="33" style="385" customWidth="1"/>
    <col min="15110" max="15111" width="0.85546875" style="385" customWidth="1"/>
    <col min="15112" max="15112" width="15.140625" style="385" bestFit="1" customWidth="1"/>
    <col min="15113" max="15114" width="0.85546875" style="385" customWidth="1"/>
    <col min="15115" max="15115" width="29.5703125" style="385" customWidth="1"/>
    <col min="15116" max="15116" width="1.5703125" style="385" customWidth="1"/>
    <col min="15117" max="15119" width="9.140625" style="385"/>
    <col min="15120" max="15120" width="13.85546875" style="385" bestFit="1" customWidth="1"/>
    <col min="15121" max="15121" width="9.140625" style="385"/>
    <col min="15122" max="15122" width="14.140625" style="385" bestFit="1" customWidth="1"/>
    <col min="15123" max="15359" width="9.140625" style="385"/>
    <col min="15360" max="15360" width="9" style="385" customWidth="1"/>
    <col min="15361" max="15361" width="1.140625" style="385" customWidth="1"/>
    <col min="15362" max="15362" width="23.5703125" style="385" customWidth="1"/>
    <col min="15363" max="15364" width="0.85546875" style="385" customWidth="1"/>
    <col min="15365" max="15365" width="33" style="385" customWidth="1"/>
    <col min="15366" max="15367" width="0.85546875" style="385" customWidth="1"/>
    <col min="15368" max="15368" width="15.140625" style="385" bestFit="1" customWidth="1"/>
    <col min="15369" max="15370" width="0.85546875" style="385" customWidth="1"/>
    <col min="15371" max="15371" width="29.5703125" style="385" customWidth="1"/>
    <col min="15372" max="15372" width="1.5703125" style="385" customWidth="1"/>
    <col min="15373" max="15375" width="9.140625" style="385"/>
    <col min="15376" max="15376" width="13.85546875" style="385" bestFit="1" customWidth="1"/>
    <col min="15377" max="15377" width="9.140625" style="385"/>
    <col min="15378" max="15378" width="14.140625" style="385" bestFit="1" customWidth="1"/>
    <col min="15379" max="15615" width="9.140625" style="385"/>
    <col min="15616" max="15616" width="9" style="385" customWidth="1"/>
    <col min="15617" max="15617" width="1.140625" style="385" customWidth="1"/>
    <col min="15618" max="15618" width="23.5703125" style="385" customWidth="1"/>
    <col min="15619" max="15620" width="0.85546875" style="385" customWidth="1"/>
    <col min="15621" max="15621" width="33" style="385" customWidth="1"/>
    <col min="15622" max="15623" width="0.85546875" style="385" customWidth="1"/>
    <col min="15624" max="15624" width="15.140625" style="385" bestFit="1" customWidth="1"/>
    <col min="15625" max="15626" width="0.85546875" style="385" customWidth="1"/>
    <col min="15627" max="15627" width="29.5703125" style="385" customWidth="1"/>
    <col min="15628" max="15628" width="1.5703125" style="385" customWidth="1"/>
    <col min="15629" max="15631" width="9.140625" style="385"/>
    <col min="15632" max="15632" width="13.85546875" style="385" bestFit="1" customWidth="1"/>
    <col min="15633" max="15633" width="9.140625" style="385"/>
    <col min="15634" max="15634" width="14.140625" style="385" bestFit="1" customWidth="1"/>
    <col min="15635" max="15871" width="9.140625" style="385"/>
    <col min="15872" max="15872" width="9" style="385" customWidth="1"/>
    <col min="15873" max="15873" width="1.140625" style="385" customWidth="1"/>
    <col min="15874" max="15874" width="23.5703125" style="385" customWidth="1"/>
    <col min="15875" max="15876" width="0.85546875" style="385" customWidth="1"/>
    <col min="15877" max="15877" width="33" style="385" customWidth="1"/>
    <col min="15878" max="15879" width="0.85546875" style="385" customWidth="1"/>
    <col min="15880" max="15880" width="15.140625" style="385" bestFit="1" customWidth="1"/>
    <col min="15881" max="15882" width="0.85546875" style="385" customWidth="1"/>
    <col min="15883" max="15883" width="29.5703125" style="385" customWidth="1"/>
    <col min="15884" max="15884" width="1.5703125" style="385" customWidth="1"/>
    <col min="15885" max="15887" width="9.140625" style="385"/>
    <col min="15888" max="15888" width="13.85546875" style="385" bestFit="1" customWidth="1"/>
    <col min="15889" max="15889" width="9.140625" style="385"/>
    <col min="15890" max="15890" width="14.140625" style="385" bestFit="1" customWidth="1"/>
    <col min="15891" max="16127" width="9.140625" style="385"/>
    <col min="16128" max="16128" width="9" style="385" customWidth="1"/>
    <col min="16129" max="16129" width="1.140625" style="385" customWidth="1"/>
    <col min="16130" max="16130" width="23.5703125" style="385" customWidth="1"/>
    <col min="16131" max="16132" width="0.85546875" style="385" customWidth="1"/>
    <col min="16133" max="16133" width="33" style="385" customWidth="1"/>
    <col min="16134" max="16135" width="0.85546875" style="385" customWidth="1"/>
    <col min="16136" max="16136" width="15.140625" style="385" bestFit="1" customWidth="1"/>
    <col min="16137" max="16138" width="0.85546875" style="385" customWidth="1"/>
    <col min="16139" max="16139" width="29.5703125" style="385" customWidth="1"/>
    <col min="16140" max="16140" width="1.5703125" style="385" customWidth="1"/>
    <col min="16141" max="16143" width="9.140625" style="385"/>
    <col min="16144" max="16144" width="13.85546875" style="385" bestFit="1" customWidth="1"/>
    <col min="16145" max="16145" width="9.140625" style="385"/>
    <col min="16146" max="16146" width="14.140625" style="385" bestFit="1" customWidth="1"/>
    <col min="16147" max="16384" width="9.140625" style="385"/>
  </cols>
  <sheetData>
    <row r="1" spans="1:13" ht="18" customHeight="1" thickBot="1">
      <c r="A1" s="612" t="s">
        <v>570</v>
      </c>
      <c r="B1" s="613"/>
      <c r="C1" s="613"/>
      <c r="D1" s="613"/>
      <c r="E1" s="613"/>
      <c r="F1" s="613"/>
      <c r="G1" s="613"/>
      <c r="H1" s="613"/>
      <c r="I1" s="613"/>
      <c r="J1" s="613"/>
      <c r="K1" s="613"/>
      <c r="L1" s="613"/>
      <c r="M1" s="614"/>
    </row>
    <row r="2" spans="1:13" ht="15.6" customHeight="1" thickTop="1" thickBot="1">
      <c r="A2" s="615" t="s">
        <v>603</v>
      </c>
      <c r="B2" s="616"/>
      <c r="C2" s="616"/>
      <c r="D2" s="616"/>
      <c r="E2" s="616"/>
      <c r="F2" s="616"/>
      <c r="G2" s="616"/>
      <c r="H2" s="616"/>
      <c r="I2" s="616"/>
      <c r="J2" s="616"/>
      <c r="K2" s="616"/>
      <c r="L2" s="616"/>
      <c r="M2" s="617"/>
    </row>
    <row r="3" spans="1:13" ht="10.5" customHeight="1" thickTop="1">
      <c r="A3" s="386"/>
      <c r="D3" s="385"/>
      <c r="G3" s="385"/>
      <c r="J3" s="385"/>
    </row>
    <row r="4" spans="1:13" ht="13.35" customHeight="1">
      <c r="A4" s="618" t="s">
        <v>604</v>
      </c>
      <c r="B4" s="619"/>
      <c r="C4" s="619"/>
      <c r="D4" s="619"/>
      <c r="E4" s="619"/>
      <c r="F4" s="619"/>
      <c r="G4" s="619"/>
      <c r="H4" s="619"/>
      <c r="I4" s="619"/>
      <c r="J4" s="619"/>
      <c r="K4" s="619"/>
      <c r="L4" s="619"/>
      <c r="M4" s="620"/>
    </row>
    <row r="5" spans="1:13">
      <c r="A5" s="618" t="s">
        <v>605</v>
      </c>
      <c r="B5" s="619"/>
      <c r="C5" s="619"/>
      <c r="D5" s="619"/>
      <c r="E5" s="619"/>
      <c r="F5" s="619"/>
      <c r="G5" s="619"/>
      <c r="H5" s="619"/>
      <c r="I5" s="619"/>
      <c r="J5" s="619"/>
      <c r="K5" s="619"/>
      <c r="L5" s="619"/>
      <c r="M5" s="620"/>
    </row>
    <row r="6" spans="1:13" ht="10.35" customHeight="1">
      <c r="A6" s="389"/>
      <c r="B6" s="390"/>
      <c r="C6" s="390"/>
      <c r="D6" s="390"/>
      <c r="E6" s="390"/>
      <c r="F6" s="390"/>
      <c r="G6" s="390"/>
      <c r="H6" s="390"/>
      <c r="I6" s="391"/>
      <c r="J6" s="390"/>
      <c r="K6" s="390"/>
      <c r="L6" s="390"/>
      <c r="M6" s="392"/>
    </row>
    <row r="7" spans="1:13" ht="6.75" customHeight="1">
      <c r="A7" s="393"/>
      <c r="B7" s="394"/>
      <c r="C7" s="394"/>
      <c r="D7" s="395"/>
      <c r="E7" s="394"/>
      <c r="F7" s="394"/>
      <c r="G7" s="395"/>
      <c r="H7" s="394"/>
      <c r="I7" s="396"/>
      <c r="J7" s="395"/>
      <c r="K7" s="394"/>
      <c r="L7" s="394"/>
      <c r="M7" s="395"/>
    </row>
    <row r="8" spans="1:13" s="398" customFormat="1">
      <c r="A8" s="397" t="s">
        <v>369</v>
      </c>
      <c r="C8" s="398" t="s">
        <v>606</v>
      </c>
      <c r="D8" s="399"/>
      <c r="F8" s="398" t="s">
        <v>607</v>
      </c>
      <c r="G8" s="399"/>
      <c r="I8" s="400" t="s">
        <v>608</v>
      </c>
      <c r="J8" s="399"/>
      <c r="L8" s="398" t="s">
        <v>609</v>
      </c>
      <c r="M8" s="399"/>
    </row>
    <row r="9" spans="1:13" s="398" customFormat="1">
      <c r="A9" s="397" t="s">
        <v>610</v>
      </c>
      <c r="D9" s="399"/>
      <c r="G9" s="399"/>
      <c r="I9" s="400"/>
      <c r="J9" s="399"/>
      <c r="M9" s="399"/>
    </row>
    <row r="10" spans="1:13" ht="5.25" customHeight="1">
      <c r="A10" s="401"/>
      <c r="B10" s="390"/>
      <c r="C10" s="390"/>
      <c r="D10" s="392"/>
      <c r="E10" s="390"/>
      <c r="F10" s="390"/>
      <c r="G10" s="392"/>
      <c r="H10" s="390"/>
      <c r="I10" s="391"/>
      <c r="J10" s="392"/>
      <c r="K10" s="390"/>
      <c r="L10" s="390"/>
      <c r="M10" s="392"/>
    </row>
    <row r="11" spans="1:13" ht="7.5" customHeight="1">
      <c r="A11" s="393"/>
    </row>
    <row r="12" spans="1:13" s="403" customFormat="1" ht="54.75" customHeight="1">
      <c r="A12" s="402" t="s">
        <v>504</v>
      </c>
      <c r="C12" s="403" t="s">
        <v>380</v>
      </c>
      <c r="D12" s="404"/>
      <c r="F12" s="403" t="s">
        <v>611</v>
      </c>
      <c r="G12" s="404"/>
      <c r="I12" s="405">
        <v>314266000</v>
      </c>
      <c r="J12" s="404"/>
      <c r="L12" s="403" t="s">
        <v>612</v>
      </c>
      <c r="M12" s="404"/>
    </row>
    <row r="13" spans="1:13" s="403" customFormat="1" ht="9.6" customHeight="1">
      <c r="A13" s="406"/>
      <c r="D13" s="404"/>
      <c r="G13" s="404"/>
      <c r="I13" s="405"/>
      <c r="J13" s="404"/>
      <c r="M13" s="404"/>
    </row>
    <row r="14" spans="1:13" s="403" customFormat="1" ht="38.25">
      <c r="A14" s="402" t="s">
        <v>613</v>
      </c>
      <c r="C14" s="403" t="s">
        <v>381</v>
      </c>
      <c r="D14" s="404"/>
      <c r="F14" s="407" t="s">
        <v>614</v>
      </c>
      <c r="G14" s="404"/>
      <c r="I14" s="405">
        <v>18083000</v>
      </c>
      <c r="J14" s="404"/>
      <c r="L14" s="407" t="s">
        <v>615</v>
      </c>
      <c r="M14" s="404"/>
    </row>
    <row r="15" spans="1:13" s="403" customFormat="1" ht="9.6" customHeight="1">
      <c r="A15" s="406"/>
      <c r="D15" s="404"/>
      <c r="G15" s="404"/>
      <c r="I15" s="405"/>
      <c r="J15" s="404"/>
      <c r="M15" s="404"/>
    </row>
    <row r="16" spans="1:13" s="403" customFormat="1" ht="25.5">
      <c r="A16" s="402" t="s">
        <v>616</v>
      </c>
      <c r="C16" s="403" t="s">
        <v>382</v>
      </c>
      <c r="D16" s="404"/>
      <c r="F16" s="407" t="s">
        <v>617</v>
      </c>
      <c r="G16" s="404"/>
      <c r="I16" s="405">
        <v>15886000</v>
      </c>
      <c r="J16" s="404"/>
      <c r="L16" s="407" t="s">
        <v>618</v>
      </c>
      <c r="M16" s="404"/>
    </row>
    <row r="17" spans="1:13" s="403" customFormat="1" ht="8.4499999999999993" customHeight="1">
      <c r="A17" s="406"/>
      <c r="D17" s="404"/>
      <c r="G17" s="404"/>
      <c r="I17" s="405"/>
      <c r="J17" s="404"/>
      <c r="M17" s="404"/>
    </row>
    <row r="18" spans="1:13" s="403" customFormat="1" ht="51">
      <c r="A18" s="402" t="s">
        <v>199</v>
      </c>
      <c r="C18" s="403" t="s">
        <v>384</v>
      </c>
      <c r="D18" s="404"/>
      <c r="F18" s="403" t="s">
        <v>619</v>
      </c>
      <c r="G18" s="404"/>
      <c r="I18" s="405">
        <v>11287000</v>
      </c>
      <c r="J18" s="404"/>
      <c r="L18" s="407" t="s">
        <v>620</v>
      </c>
      <c r="M18" s="404"/>
    </row>
    <row r="19" spans="1:13" s="403" customFormat="1" ht="9.6" customHeight="1">
      <c r="A19" s="406"/>
      <c r="D19" s="404"/>
      <c r="G19" s="404"/>
      <c r="I19" s="405"/>
      <c r="J19" s="404"/>
      <c r="M19" s="404"/>
    </row>
    <row r="20" spans="1:13" s="403" customFormat="1" ht="38.25">
      <c r="A20" s="402" t="s">
        <v>509</v>
      </c>
      <c r="C20" s="403" t="s">
        <v>385</v>
      </c>
      <c r="D20" s="404"/>
      <c r="F20" s="407" t="s">
        <v>621</v>
      </c>
      <c r="G20" s="404"/>
      <c r="I20" s="405">
        <v>18623000</v>
      </c>
      <c r="J20" s="404"/>
      <c r="L20" s="407" t="s">
        <v>622</v>
      </c>
      <c r="M20" s="404"/>
    </row>
    <row r="21" spans="1:13" s="403" customFormat="1" ht="9" customHeight="1">
      <c r="A21" s="406"/>
      <c r="D21" s="404"/>
      <c r="G21" s="404"/>
      <c r="I21" s="405"/>
      <c r="J21" s="404"/>
      <c r="M21" s="404"/>
    </row>
    <row r="22" spans="1:13" s="403" customFormat="1" ht="25.5">
      <c r="A22" s="402" t="s">
        <v>623</v>
      </c>
      <c r="C22" s="403" t="s">
        <v>387</v>
      </c>
      <c r="D22" s="404"/>
      <c r="F22" s="403" t="s">
        <v>624</v>
      </c>
      <c r="G22" s="404"/>
      <c r="I22" s="405">
        <v>14696000</v>
      </c>
      <c r="J22" s="404"/>
      <c r="L22" s="403" t="s">
        <v>625</v>
      </c>
      <c r="M22" s="404"/>
    </row>
    <row r="23" spans="1:13" s="403" customFormat="1" ht="7.35" customHeight="1">
      <c r="A23" s="406"/>
      <c r="D23" s="404"/>
      <c r="G23" s="404"/>
      <c r="I23" s="405">
        <v>0</v>
      </c>
      <c r="J23" s="404"/>
      <c r="M23" s="404"/>
    </row>
    <row r="24" spans="1:13" s="403" customFormat="1" ht="25.5">
      <c r="A24" s="402" t="s">
        <v>626</v>
      </c>
      <c r="C24" s="403" t="s">
        <v>388</v>
      </c>
      <c r="D24" s="404"/>
      <c r="F24" s="403" t="s">
        <v>627</v>
      </c>
      <c r="G24" s="404"/>
      <c r="I24" s="405">
        <v>16490000</v>
      </c>
      <c r="J24" s="404"/>
      <c r="L24" s="403" t="s">
        <v>628</v>
      </c>
      <c r="M24" s="404"/>
    </row>
    <row r="25" spans="1:13" s="403" customFormat="1" ht="6.6" customHeight="1">
      <c r="A25" s="406"/>
      <c r="D25" s="404"/>
      <c r="G25" s="404"/>
      <c r="I25" s="405">
        <v>0</v>
      </c>
      <c r="J25" s="404"/>
      <c r="M25" s="404"/>
    </row>
    <row r="26" spans="1:13" s="403" customFormat="1" ht="38.25">
      <c r="A26" s="402" t="s">
        <v>629</v>
      </c>
      <c r="C26" s="403" t="s">
        <v>556</v>
      </c>
      <c r="D26" s="404"/>
      <c r="F26" s="408" t="s">
        <v>630</v>
      </c>
      <c r="G26" s="404"/>
      <c r="I26" s="405">
        <v>35000000</v>
      </c>
      <c r="J26" s="404"/>
      <c r="L26" s="408" t="s">
        <v>631</v>
      </c>
      <c r="M26" s="404"/>
    </row>
    <row r="27" spans="1:13" s="403" customFormat="1" ht="9" customHeight="1">
      <c r="A27" s="406"/>
      <c r="D27" s="404"/>
      <c r="G27" s="404"/>
      <c r="I27" s="405"/>
      <c r="J27" s="404"/>
      <c r="M27" s="404"/>
    </row>
    <row r="28" spans="1:13" s="403" customFormat="1" ht="25.5">
      <c r="A28" s="406">
        <v>20017</v>
      </c>
      <c r="C28" s="403" t="s">
        <v>632</v>
      </c>
      <c r="D28" s="404"/>
      <c r="F28" s="407" t="s">
        <v>633</v>
      </c>
      <c r="G28" s="404"/>
      <c r="I28" s="405">
        <v>169057917000</v>
      </c>
      <c r="J28" s="404"/>
      <c r="L28" s="403" t="s">
        <v>634</v>
      </c>
      <c r="M28" s="404"/>
    </row>
    <row r="29" spans="1:13" s="403" customFormat="1" ht="9.6" customHeight="1">
      <c r="A29" s="406"/>
      <c r="D29" s="404"/>
      <c r="G29" s="404"/>
      <c r="I29" s="405"/>
      <c r="J29" s="404"/>
      <c r="M29" s="404"/>
    </row>
    <row r="30" spans="1:13" s="403" customFormat="1" ht="38.25">
      <c r="A30" s="406">
        <v>20018</v>
      </c>
      <c r="C30" s="403" t="s">
        <v>635</v>
      </c>
      <c r="D30" s="404"/>
      <c r="F30" s="407" t="s">
        <v>636</v>
      </c>
      <c r="G30" s="404"/>
      <c r="I30" s="405">
        <v>138409053000</v>
      </c>
      <c r="J30" s="404"/>
      <c r="L30" s="407" t="s">
        <v>637</v>
      </c>
      <c r="M30" s="404"/>
    </row>
    <row r="31" spans="1:13" s="403" customFormat="1">
      <c r="A31" s="406"/>
      <c r="D31" s="404"/>
      <c r="G31" s="404"/>
      <c r="I31" s="405"/>
      <c r="J31" s="404"/>
      <c r="M31" s="404"/>
    </row>
    <row r="32" spans="1:13" s="403" customFormat="1" ht="51">
      <c r="A32" s="406">
        <v>20019</v>
      </c>
      <c r="C32" s="403" t="s">
        <v>638</v>
      </c>
      <c r="D32" s="404"/>
      <c r="F32" s="407" t="s">
        <v>639</v>
      </c>
      <c r="G32" s="404"/>
      <c r="I32" s="405">
        <v>9731421000</v>
      </c>
      <c r="J32" s="404"/>
      <c r="L32" s="407" t="s">
        <v>640</v>
      </c>
      <c r="M32" s="404"/>
    </row>
    <row r="33" spans="1:13" s="403" customFormat="1" ht="9" customHeight="1">
      <c r="A33" s="406"/>
      <c r="D33" s="404"/>
      <c r="G33" s="404"/>
      <c r="I33" s="405"/>
      <c r="J33" s="404"/>
      <c r="M33" s="404"/>
    </row>
    <row r="34" spans="1:13" s="403" customFormat="1" ht="38.25">
      <c r="A34" s="406"/>
      <c r="D34" s="404"/>
      <c r="F34" s="407" t="s">
        <v>641</v>
      </c>
      <c r="G34" s="404"/>
      <c r="I34" s="405">
        <v>2400000000</v>
      </c>
      <c r="J34" s="404"/>
      <c r="L34" s="407" t="s">
        <v>642</v>
      </c>
      <c r="M34" s="404"/>
    </row>
    <row r="35" spans="1:13" s="403" customFormat="1" ht="9" customHeight="1">
      <c r="A35" s="406"/>
      <c r="D35" s="404"/>
      <c r="G35" s="404"/>
      <c r="I35" s="405"/>
      <c r="J35" s="404"/>
      <c r="M35" s="404"/>
    </row>
    <row r="36" spans="1:13" s="403" customFormat="1" ht="38.25">
      <c r="A36" s="406"/>
      <c r="D36" s="404"/>
      <c r="F36" s="407" t="s">
        <v>643</v>
      </c>
      <c r="G36" s="404"/>
      <c r="I36" s="405">
        <v>9485922000</v>
      </c>
      <c r="J36" s="404"/>
      <c r="L36" s="407" t="s">
        <v>644</v>
      </c>
      <c r="M36" s="404"/>
    </row>
    <row r="37" spans="1:13" s="403" customFormat="1" ht="8.4499999999999993" customHeight="1">
      <c r="A37" s="406"/>
      <c r="D37" s="404"/>
      <c r="F37" s="407"/>
      <c r="G37" s="404"/>
      <c r="I37" s="405"/>
      <c r="J37" s="404"/>
      <c r="L37" s="407"/>
      <c r="M37" s="404"/>
    </row>
    <row r="38" spans="1:13" s="403" customFormat="1" ht="69" customHeight="1">
      <c r="A38" s="406"/>
      <c r="D38" s="404"/>
      <c r="F38" s="403" t="s">
        <v>645</v>
      </c>
      <c r="G38" s="404"/>
      <c r="I38" s="405">
        <v>4535000000</v>
      </c>
      <c r="J38" s="404"/>
      <c r="L38" s="407" t="s">
        <v>646</v>
      </c>
      <c r="M38" s="404"/>
    </row>
    <row r="39" spans="1:13" s="403" customFormat="1" ht="9.6" customHeight="1">
      <c r="A39" s="406"/>
      <c r="D39" s="404"/>
      <c r="G39" s="404"/>
      <c r="I39" s="405"/>
      <c r="J39" s="404"/>
      <c r="M39" s="404"/>
    </row>
    <row r="40" spans="1:13" s="410" customFormat="1" ht="198" customHeight="1">
      <c r="A40" s="409"/>
      <c r="D40" s="411"/>
      <c r="F40" s="410" t="s">
        <v>647</v>
      </c>
      <c r="G40" s="411"/>
      <c r="I40" s="412">
        <v>323000000</v>
      </c>
      <c r="J40" s="411"/>
      <c r="L40" s="410" t="s">
        <v>648</v>
      </c>
      <c r="M40" s="411"/>
    </row>
    <row r="41" spans="1:13" s="403" customFormat="1" ht="7.35" customHeight="1">
      <c r="A41" s="413"/>
      <c r="I41" s="405">
        <v>0</v>
      </c>
    </row>
    <row r="42" spans="1:13" s="403" customFormat="1" ht="51">
      <c r="A42" s="406"/>
      <c r="D42" s="404"/>
      <c r="F42" s="403" t="s">
        <v>649</v>
      </c>
      <c r="G42" s="404"/>
      <c r="I42" s="405">
        <v>84962000</v>
      </c>
      <c r="J42" s="404"/>
      <c r="L42" s="403" t="s">
        <v>650</v>
      </c>
      <c r="M42" s="404"/>
    </row>
    <row r="43" spans="1:13" s="403" customFormat="1" ht="9.6" customHeight="1">
      <c r="A43" s="406"/>
      <c r="D43" s="404"/>
      <c r="G43" s="404"/>
      <c r="I43" s="405">
        <v>0</v>
      </c>
      <c r="J43" s="404"/>
      <c r="M43" s="404"/>
    </row>
    <row r="44" spans="1:13" s="403" customFormat="1" ht="38.25">
      <c r="A44" s="406"/>
      <c r="D44" s="404"/>
      <c r="F44" s="403" t="s">
        <v>651</v>
      </c>
      <c r="G44" s="404"/>
      <c r="I44" s="405">
        <v>540000000</v>
      </c>
      <c r="J44" s="404"/>
      <c r="L44" s="403" t="s">
        <v>652</v>
      </c>
      <c r="M44" s="404"/>
    </row>
    <row r="45" spans="1:13" s="403" customFormat="1" ht="9.6" customHeight="1">
      <c r="A45" s="406"/>
      <c r="D45" s="404"/>
      <c r="G45" s="404"/>
      <c r="I45" s="405"/>
      <c r="J45" s="404"/>
      <c r="M45" s="404"/>
    </row>
    <row r="46" spans="1:13" s="403" customFormat="1" ht="63.75">
      <c r="A46" s="406"/>
      <c r="D46" s="404"/>
      <c r="F46" s="403" t="s">
        <v>653</v>
      </c>
      <c r="G46" s="404"/>
      <c r="I46" s="405">
        <v>106000000</v>
      </c>
      <c r="J46" s="404"/>
      <c r="L46" s="403" t="s">
        <v>654</v>
      </c>
      <c r="M46" s="404"/>
    </row>
    <row r="47" spans="1:13" s="403" customFormat="1" ht="9.6" customHeight="1">
      <c r="A47" s="406"/>
      <c r="D47" s="404"/>
      <c r="G47" s="404"/>
      <c r="I47" s="405"/>
      <c r="J47" s="404"/>
      <c r="M47" s="404"/>
    </row>
    <row r="48" spans="1:13" s="403" customFormat="1" ht="38.25">
      <c r="A48" s="406"/>
      <c r="D48" s="404"/>
      <c r="F48" s="403" t="s">
        <v>655</v>
      </c>
      <c r="G48" s="404"/>
      <c r="I48" s="405">
        <v>60300000</v>
      </c>
      <c r="J48" s="404"/>
      <c r="L48" s="403" t="s">
        <v>656</v>
      </c>
      <c r="M48" s="404"/>
    </row>
    <row r="49" spans="1:15" s="403" customFormat="1" ht="9.6" customHeight="1">
      <c r="A49" s="406"/>
      <c r="D49" s="404"/>
      <c r="G49" s="404"/>
      <c r="I49" s="405"/>
      <c r="J49" s="404"/>
      <c r="M49" s="404"/>
    </row>
    <row r="50" spans="1:15" s="403" customFormat="1" ht="25.5">
      <c r="A50" s="406"/>
      <c r="D50" s="404"/>
      <c r="F50" s="403" t="s">
        <v>657</v>
      </c>
      <c r="G50" s="404"/>
      <c r="I50" s="405">
        <v>4000000</v>
      </c>
      <c r="J50" s="404"/>
      <c r="L50" s="403" t="s">
        <v>658</v>
      </c>
      <c r="M50" s="404"/>
    </row>
    <row r="51" spans="1:15" s="403" customFormat="1" ht="9.6" customHeight="1">
      <c r="A51" s="406"/>
      <c r="D51" s="404"/>
      <c r="G51" s="404"/>
      <c r="I51" s="405"/>
      <c r="J51" s="404"/>
      <c r="M51" s="404"/>
    </row>
    <row r="52" spans="1:15" s="403" customFormat="1">
      <c r="A52" s="406"/>
      <c r="D52" s="404"/>
      <c r="F52" s="403" t="s">
        <v>659</v>
      </c>
      <c r="G52" s="404"/>
      <c r="I52" s="405">
        <v>20516000</v>
      </c>
      <c r="J52" s="404"/>
      <c r="L52" s="403" t="s">
        <v>660</v>
      </c>
      <c r="M52" s="404"/>
    </row>
    <row r="53" spans="1:15" s="403" customFormat="1" ht="11.1" customHeight="1">
      <c r="A53" s="406"/>
      <c r="D53" s="404"/>
      <c r="G53" s="404"/>
      <c r="I53" s="405"/>
      <c r="J53" s="404"/>
      <c r="M53" s="404"/>
    </row>
    <row r="54" spans="1:15" s="403" customFormat="1" ht="51">
      <c r="A54" s="406"/>
      <c r="D54" s="404"/>
      <c r="F54" s="403" t="s">
        <v>661</v>
      </c>
      <c r="G54" s="404"/>
      <c r="I54" s="405">
        <v>15500000</v>
      </c>
      <c r="J54" s="404"/>
      <c r="L54" s="403" t="s">
        <v>662</v>
      </c>
      <c r="M54" s="404"/>
    </row>
    <row r="55" spans="1:15" s="403" customFormat="1" ht="9.6" customHeight="1">
      <c r="A55" s="406"/>
      <c r="D55" s="404"/>
      <c r="G55" s="404"/>
      <c r="I55" s="405"/>
      <c r="J55" s="404"/>
      <c r="M55" s="404"/>
    </row>
    <row r="56" spans="1:15" s="403" customFormat="1">
      <c r="A56" s="406"/>
      <c r="D56" s="404"/>
      <c r="F56" s="403" t="s">
        <v>663</v>
      </c>
      <c r="G56" s="404"/>
      <c r="I56" s="405">
        <v>6482000</v>
      </c>
      <c r="J56" s="404"/>
      <c r="L56" s="403" t="s">
        <v>664</v>
      </c>
      <c r="M56" s="404"/>
    </row>
    <row r="57" spans="1:15" s="403" customFormat="1" ht="9.6" customHeight="1">
      <c r="A57" s="406"/>
      <c r="D57" s="404"/>
      <c r="G57" s="404"/>
      <c r="I57" s="405"/>
      <c r="J57" s="404"/>
      <c r="M57" s="404"/>
    </row>
    <row r="58" spans="1:15" s="403" customFormat="1" ht="38.25">
      <c r="A58" s="406"/>
      <c r="D58" s="404"/>
      <c r="F58" s="403" t="s">
        <v>665</v>
      </c>
      <c r="G58" s="404"/>
      <c r="I58" s="405">
        <v>250000000</v>
      </c>
      <c r="J58" s="404"/>
      <c r="L58" s="403" t="s">
        <v>666</v>
      </c>
      <c r="M58" s="404"/>
      <c r="O58" s="414"/>
    </row>
    <row r="59" spans="1:15" s="403" customFormat="1" ht="9.6" customHeight="1">
      <c r="A59" s="406"/>
      <c r="D59" s="404"/>
      <c r="G59" s="404"/>
      <c r="I59" s="405"/>
      <c r="J59" s="404"/>
      <c r="M59" s="404"/>
    </row>
    <row r="60" spans="1:15" s="416" customFormat="1">
      <c r="A60" s="415"/>
      <c r="D60" s="417"/>
      <c r="F60" s="416" t="s">
        <v>667</v>
      </c>
      <c r="G60" s="417"/>
      <c r="I60" s="418">
        <f xml:space="preserve">   +SUM(I32:I58)</f>
        <v>27563103000</v>
      </c>
      <c r="J60" s="417"/>
      <c r="M60" s="417"/>
      <c r="O60" s="419"/>
    </row>
    <row r="61" spans="1:15" s="416" customFormat="1" ht="9.6" customHeight="1">
      <c r="A61" s="415"/>
      <c r="D61" s="417"/>
      <c r="G61" s="417"/>
      <c r="I61" s="418"/>
      <c r="J61" s="417"/>
      <c r="M61" s="417"/>
    </row>
    <row r="62" spans="1:15" s="416" customFormat="1" ht="9.6" customHeight="1">
      <c r="A62" s="415"/>
      <c r="D62" s="417"/>
      <c r="G62" s="417"/>
      <c r="I62" s="418"/>
      <c r="J62" s="417"/>
      <c r="M62" s="417"/>
    </row>
    <row r="63" spans="1:15" s="403" customFormat="1" ht="25.5">
      <c r="A63" s="402" t="s">
        <v>668</v>
      </c>
      <c r="C63" s="403" t="s">
        <v>669</v>
      </c>
      <c r="D63" s="404"/>
      <c r="F63" s="403" t="s">
        <v>670</v>
      </c>
      <c r="G63" s="404"/>
      <c r="I63" s="405">
        <v>14600000</v>
      </c>
      <c r="J63" s="404"/>
      <c r="L63" s="403" t="s">
        <v>671</v>
      </c>
      <c r="M63" s="404"/>
    </row>
    <row r="64" spans="1:15" s="403" customFormat="1" ht="9.6" customHeight="1">
      <c r="A64" s="402"/>
      <c r="D64" s="404"/>
      <c r="G64" s="404"/>
      <c r="I64" s="405"/>
      <c r="J64" s="404"/>
      <c r="M64" s="404"/>
    </row>
    <row r="65" spans="1:15" s="403" customFormat="1" ht="38.25">
      <c r="A65" s="406">
        <v>28058</v>
      </c>
      <c r="C65" s="403" t="s">
        <v>672</v>
      </c>
      <c r="D65" s="404"/>
      <c r="F65" s="403" t="s">
        <v>673</v>
      </c>
      <c r="G65" s="404"/>
      <c r="I65" s="405">
        <v>1031747000</v>
      </c>
      <c r="J65" s="404"/>
      <c r="L65" s="403" t="s">
        <v>674</v>
      </c>
      <c r="M65" s="404"/>
      <c r="O65" s="414"/>
    </row>
    <row r="66" spans="1:15" s="403" customFormat="1" ht="9.6" customHeight="1">
      <c r="A66" s="406"/>
      <c r="D66" s="404"/>
      <c r="G66" s="404"/>
      <c r="I66" s="405"/>
      <c r="J66" s="404"/>
      <c r="M66" s="404"/>
    </row>
    <row r="67" spans="1:15" s="416" customFormat="1">
      <c r="A67" s="415"/>
      <c r="D67" s="417"/>
      <c r="F67" s="416" t="s">
        <v>675</v>
      </c>
      <c r="G67" s="417"/>
      <c r="I67" s="418">
        <f>SUM(I12:I30)+I60+SUM(I63:I65)</f>
        <v>336520751000</v>
      </c>
      <c r="J67" s="417"/>
      <c r="M67" s="417"/>
    </row>
    <row r="68" spans="1:15" s="416" customFormat="1" ht="11.45" customHeight="1">
      <c r="A68" s="415"/>
      <c r="D68" s="417"/>
      <c r="G68" s="417"/>
      <c r="I68" s="420"/>
      <c r="J68" s="417"/>
      <c r="M68" s="417"/>
    </row>
    <row r="69" spans="1:15" s="416" customFormat="1" ht="11.45" customHeight="1">
      <c r="A69" s="415"/>
      <c r="D69" s="417"/>
      <c r="G69" s="417"/>
      <c r="I69" s="420"/>
      <c r="J69" s="417"/>
      <c r="M69" s="417"/>
    </row>
    <row r="70" spans="1:15" s="416" customFormat="1" ht="11.45" customHeight="1">
      <c r="A70" s="415"/>
      <c r="D70" s="417"/>
      <c r="G70" s="417"/>
      <c r="I70" s="420"/>
      <c r="J70" s="417"/>
      <c r="M70" s="417"/>
    </row>
    <row r="71" spans="1:15" s="416" customFormat="1" ht="11.45" customHeight="1">
      <c r="A71" s="415"/>
      <c r="D71" s="417"/>
      <c r="G71" s="417"/>
      <c r="I71" s="420"/>
      <c r="J71" s="417"/>
      <c r="M71" s="417"/>
    </row>
    <row r="72" spans="1:15" s="416" customFormat="1" ht="11.45" customHeight="1">
      <c r="A72" s="415"/>
      <c r="D72" s="417"/>
      <c r="G72" s="417"/>
      <c r="I72" s="420"/>
      <c r="J72" s="417"/>
      <c r="M72" s="417"/>
    </row>
    <row r="73" spans="1:15" s="416" customFormat="1" ht="11.45" customHeight="1">
      <c r="A73" s="415"/>
      <c r="D73" s="417"/>
      <c r="G73" s="417"/>
      <c r="I73" s="420"/>
      <c r="J73" s="417"/>
      <c r="M73" s="417"/>
    </row>
    <row r="74" spans="1:15" s="416" customFormat="1" ht="11.45" customHeight="1">
      <c r="A74" s="415"/>
      <c r="D74" s="417"/>
      <c r="G74" s="417"/>
      <c r="I74" s="420"/>
      <c r="J74" s="417"/>
      <c r="M74" s="417"/>
    </row>
    <row r="75" spans="1:15" s="416" customFormat="1" ht="11.45" customHeight="1">
      <c r="A75" s="415"/>
      <c r="D75" s="417"/>
      <c r="G75" s="417"/>
      <c r="I75" s="420"/>
      <c r="J75" s="417"/>
      <c r="M75" s="417"/>
    </row>
    <row r="76" spans="1:15" s="416" customFormat="1" ht="11.45" customHeight="1">
      <c r="A76" s="415"/>
      <c r="D76" s="417"/>
      <c r="G76" s="417"/>
      <c r="I76" s="420"/>
      <c r="J76" s="417"/>
      <c r="M76" s="417"/>
    </row>
    <row r="77" spans="1:15" s="416" customFormat="1" ht="11.45" customHeight="1">
      <c r="A77" s="415"/>
      <c r="D77" s="417"/>
      <c r="G77" s="417"/>
      <c r="I77" s="420"/>
      <c r="J77" s="417"/>
      <c r="M77" s="417"/>
    </row>
    <row r="78" spans="1:15" s="416" customFormat="1" ht="11.45" customHeight="1">
      <c r="A78" s="415"/>
      <c r="D78" s="417"/>
      <c r="G78" s="417"/>
      <c r="I78" s="420"/>
      <c r="J78" s="417"/>
      <c r="M78" s="417"/>
    </row>
    <row r="79" spans="1:15" s="416" customFormat="1">
      <c r="A79" s="415"/>
      <c r="D79" s="417"/>
      <c r="G79" s="417"/>
      <c r="I79" s="420"/>
      <c r="J79" s="417"/>
      <c r="M79" s="417"/>
    </row>
    <row r="80" spans="1:15" s="416" customFormat="1">
      <c r="A80" s="415"/>
      <c r="D80" s="417"/>
      <c r="G80" s="417"/>
      <c r="I80" s="420"/>
      <c r="J80" s="417"/>
      <c r="M80" s="417"/>
    </row>
    <row r="81" spans="1:15" s="416" customFormat="1">
      <c r="A81" s="415"/>
      <c r="D81" s="417"/>
      <c r="G81" s="417"/>
      <c r="I81" s="420"/>
      <c r="J81" s="417"/>
      <c r="M81" s="417"/>
    </row>
    <row r="82" spans="1:15" s="416" customFormat="1">
      <c r="A82" s="415"/>
      <c r="D82" s="417"/>
      <c r="G82" s="417"/>
      <c r="I82" s="420"/>
      <c r="J82" s="417"/>
      <c r="M82" s="417"/>
      <c r="O82" s="419"/>
    </row>
    <row r="83" spans="1:15" s="416" customFormat="1">
      <c r="A83" s="415"/>
      <c r="D83" s="417"/>
      <c r="G83" s="417"/>
      <c r="I83" s="420"/>
      <c r="J83" s="417"/>
      <c r="M83" s="417"/>
    </row>
    <row r="84" spans="1:15" s="416" customFormat="1">
      <c r="A84" s="415"/>
      <c r="D84" s="417"/>
      <c r="G84" s="417"/>
      <c r="I84" s="420"/>
      <c r="J84" s="417"/>
      <c r="M84" s="417"/>
    </row>
    <row r="85" spans="1:15" s="416" customFormat="1">
      <c r="A85" s="415"/>
      <c r="D85" s="417"/>
      <c r="G85" s="417"/>
      <c r="I85" s="420"/>
      <c r="J85" s="417"/>
      <c r="M85" s="417"/>
    </row>
    <row r="86" spans="1:15" s="416" customFormat="1">
      <c r="A86" s="415"/>
      <c r="D86" s="417"/>
      <c r="G86" s="417"/>
      <c r="I86" s="420"/>
      <c r="J86" s="417"/>
      <c r="M86" s="417"/>
    </row>
    <row r="87" spans="1:15" s="416" customFormat="1">
      <c r="A87" s="415"/>
      <c r="D87" s="417"/>
      <c r="G87" s="417"/>
      <c r="I87" s="420"/>
      <c r="J87" s="417"/>
      <c r="M87" s="417"/>
    </row>
    <row r="88" spans="1:15" s="416" customFormat="1">
      <c r="A88" s="415"/>
      <c r="D88" s="417"/>
      <c r="G88" s="417"/>
      <c r="I88" s="420"/>
      <c r="J88" s="417"/>
      <c r="M88" s="417"/>
    </row>
    <row r="89" spans="1:15" s="416" customFormat="1">
      <c r="A89" s="415"/>
      <c r="D89" s="417"/>
      <c r="G89" s="417"/>
      <c r="I89" s="420"/>
      <c r="J89" s="417"/>
      <c r="M89" s="417"/>
    </row>
    <row r="90" spans="1:15" s="416" customFormat="1" ht="9" customHeight="1">
      <c r="A90" s="415"/>
      <c r="D90" s="417"/>
      <c r="G90" s="417"/>
      <c r="I90" s="420"/>
      <c r="J90" s="417"/>
      <c r="M90" s="417"/>
    </row>
    <row r="91" spans="1:15" s="416" customFormat="1">
      <c r="A91" s="415"/>
      <c r="D91" s="417"/>
      <c r="G91" s="417"/>
      <c r="I91" s="420"/>
      <c r="J91" s="417"/>
      <c r="M91" s="417"/>
    </row>
    <row r="92" spans="1:15" s="422" customFormat="1">
      <c r="A92" s="421"/>
      <c r="D92" s="423"/>
      <c r="G92" s="423"/>
      <c r="I92" s="424"/>
      <c r="J92" s="423"/>
      <c r="M92" s="423"/>
    </row>
    <row r="93" spans="1:15" s="416" customFormat="1">
      <c r="A93" s="415"/>
      <c r="D93" s="417"/>
      <c r="G93" s="417"/>
      <c r="I93" s="420"/>
      <c r="J93" s="417"/>
      <c r="M93" s="417"/>
    </row>
    <row r="94" spans="1:15" s="416" customFormat="1">
      <c r="A94" s="415"/>
      <c r="D94" s="417"/>
      <c r="G94" s="417"/>
      <c r="I94" s="420"/>
      <c r="J94" s="417"/>
      <c r="M94" s="417"/>
    </row>
    <row r="95" spans="1:15" s="416" customFormat="1">
      <c r="A95" s="415"/>
      <c r="D95" s="417"/>
      <c r="G95" s="417"/>
      <c r="I95" s="420"/>
      <c r="J95" s="417"/>
      <c r="M95" s="417"/>
    </row>
    <row r="96" spans="1:15" s="416" customFormat="1">
      <c r="A96" s="415"/>
      <c r="D96" s="417"/>
      <c r="G96" s="417"/>
      <c r="I96" s="420"/>
      <c r="J96" s="417"/>
      <c r="M96" s="417"/>
    </row>
    <row r="97" spans="1:16" s="416" customFormat="1">
      <c r="A97" s="415"/>
      <c r="D97" s="417"/>
      <c r="G97" s="417"/>
      <c r="I97" s="420"/>
      <c r="J97" s="417"/>
      <c r="M97" s="417"/>
    </row>
    <row r="98" spans="1:16" s="416" customFormat="1">
      <c r="A98" s="415"/>
      <c r="D98" s="417"/>
      <c r="G98" s="417"/>
      <c r="I98" s="420"/>
      <c r="J98" s="417"/>
      <c r="M98" s="417"/>
    </row>
    <row r="99" spans="1:16" s="429" customFormat="1" ht="9.6" customHeight="1">
      <c r="A99" s="425"/>
      <c r="B99" s="426"/>
      <c r="C99" s="426"/>
      <c r="D99" s="427"/>
      <c r="E99" s="426"/>
      <c r="F99" s="426"/>
      <c r="G99" s="427"/>
      <c r="H99" s="426"/>
      <c r="I99" s="428"/>
      <c r="J99" s="427"/>
      <c r="K99" s="426"/>
      <c r="L99" s="426"/>
      <c r="M99" s="427"/>
    </row>
    <row r="109" spans="1:16" ht="15">
      <c r="O109" s="431"/>
      <c r="P109" s="432"/>
    </row>
    <row r="110" spans="1:16" ht="15">
      <c r="O110" s="431"/>
      <c r="P110" s="433"/>
    </row>
    <row r="111" spans="1:16" ht="15">
      <c r="O111" s="431"/>
      <c r="P111" s="433"/>
    </row>
    <row r="123" spans="18:18" ht="15">
      <c r="R123" s="434"/>
    </row>
    <row r="124" spans="18:18">
      <c r="R124" s="433"/>
    </row>
    <row r="125" spans="18:18">
      <c r="R125" s="433"/>
    </row>
    <row r="126" spans="18:18">
      <c r="R126" s="435"/>
    </row>
    <row r="129" spans="15:15" ht="15">
      <c r="O129" s="431"/>
    </row>
    <row r="130" spans="15:15" ht="15">
      <c r="O130" s="436"/>
    </row>
    <row r="145" spans="1:13" s="390" customFormat="1">
      <c r="A145" s="401"/>
      <c r="D145" s="392"/>
      <c r="G145" s="392"/>
      <c r="I145" s="391"/>
      <c r="J145" s="392"/>
      <c r="M145" s="392"/>
    </row>
  </sheetData>
  <mergeCells count="4">
    <mergeCell ref="A1:M1"/>
    <mergeCell ref="A2:M2"/>
    <mergeCell ref="A4:M4"/>
    <mergeCell ref="A5:M5"/>
  </mergeCells>
  <printOptions horizontalCentered="1"/>
  <pageMargins left="0.23622047244094491" right="0.23622047244094491" top="0.47244094488188981" bottom="0.43307086614173229" header="0.19685039370078741" footer="0.15748031496062992"/>
  <pageSetup scale="75" firstPageNumber="16" orientation="portrait" useFirstPageNumber="1" r:id="rId1"/>
  <headerFooter alignWithMargins="0">
    <oddFooter>&amp;C&amp;"Times New Roman,Regular"&amp;12&amp;P</oddFooter>
  </headerFooter>
  <rowBreaks count="1" manualBreakCount="1">
    <brk id="4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Index</vt:lpstr>
      <vt:lpstr>STATEMENT 1</vt:lpstr>
      <vt:lpstr>STATEMENT 2</vt:lpstr>
      <vt:lpstr>STATEMENT 3</vt:lpstr>
      <vt:lpstr>STATEMENT 4</vt:lpstr>
      <vt:lpstr>STATEMENT 5</vt:lpstr>
      <vt:lpstr>'STATEMENT 1'!Print_Area</vt:lpstr>
      <vt:lpstr>'STATEMENT 2'!Print_Area</vt:lpstr>
      <vt:lpstr>'STATEMENT 4'!Print_Area</vt:lpstr>
      <vt:lpstr>'STATEMENT 5'!Print_Area</vt:lpstr>
      <vt:lpstr>'STATEMENT 2'!Print_Titles</vt:lpstr>
      <vt:lpstr>'STATEMENT 3'!Print_Titles</vt:lpstr>
      <vt:lpstr>'STATEMENT 5'!Print_Titles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Shermaine Shaw;Rondeen Mcdonald-Clarke</dc:creator>
  <cp:lastModifiedBy>Marlon Moore</cp:lastModifiedBy>
  <cp:lastPrinted>2022-10-03T21:28:30Z</cp:lastPrinted>
  <dcterms:created xsi:type="dcterms:W3CDTF">2015-11-25T17:02:09Z</dcterms:created>
  <dcterms:modified xsi:type="dcterms:W3CDTF">2022-11-25T14:21:27Z</dcterms:modified>
</cp:coreProperties>
</file>